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320" activeTab="1"/>
  </bookViews>
  <sheets>
    <sheet name="PL" sheetId="1" r:id="rId1"/>
    <sheet name="BS" sheetId="2" r:id="rId2"/>
    <sheet name="Chg in equity" sheetId="3" r:id="rId3"/>
    <sheet name="Cash flow" sheetId="4" r:id="rId4"/>
  </sheets>
  <externalReferences>
    <externalReference r:id="rId7"/>
  </externalReferences>
  <definedNames>
    <definedName name="_xlnm.Print_Area" localSheetId="2">'Chg in equity'!$A:$IV</definedName>
  </definedNames>
  <calcPr fullCalcOnLoad="1"/>
</workbook>
</file>

<file path=xl/sharedStrings.xml><?xml version="1.0" encoding="utf-8"?>
<sst xmlns="http://schemas.openxmlformats.org/spreadsheetml/2006/main" count="179" uniqueCount="140">
  <si>
    <t>The figures have not been audited.</t>
  </si>
  <si>
    <t>Finance cost</t>
  </si>
  <si>
    <t>INDIVIDUAL QUARTER</t>
  </si>
  <si>
    <t>CUMULATIVE QUARTER</t>
  </si>
  <si>
    <t>CURRENT</t>
  </si>
  <si>
    <t>PRECEDING YEAR</t>
  </si>
  <si>
    <t xml:space="preserve">CURRENT </t>
  </si>
  <si>
    <t>YEAR</t>
  </si>
  <si>
    <t>CORRESPONDING</t>
  </si>
  <si>
    <t>QUARTER</t>
  </si>
  <si>
    <t>PERIOD</t>
  </si>
  <si>
    <t>RM'000</t>
  </si>
  <si>
    <t xml:space="preserve"> </t>
  </si>
  <si>
    <t>Current Assets</t>
  </si>
  <si>
    <t>Share Capital</t>
  </si>
  <si>
    <t>Minority Interests</t>
  </si>
  <si>
    <t>KONSORTIUM LOGISTIK BERHAD</t>
  </si>
  <si>
    <t>Property, plant and equipment</t>
  </si>
  <si>
    <t>Long term investments</t>
  </si>
  <si>
    <t>Inventories</t>
  </si>
  <si>
    <t>Trade receivables</t>
  </si>
  <si>
    <t>Other receivables</t>
  </si>
  <si>
    <t>Trade payables</t>
  </si>
  <si>
    <t>Other payables</t>
  </si>
  <si>
    <t>Provision for retirement benefits</t>
  </si>
  <si>
    <t xml:space="preserve">CONDENSED CONSOLIDATED BALANCE SHEET </t>
  </si>
  <si>
    <t>CONDENSED CONSOLIDATED INCOME STATEMENT</t>
  </si>
  <si>
    <t>sen</t>
  </si>
  <si>
    <t>CONDENSED CONSOLIDATED STATEMENT OF CHANGES IN EQUITY</t>
  </si>
  <si>
    <t>Share</t>
  </si>
  <si>
    <t>Capital</t>
  </si>
  <si>
    <t>Premium</t>
  </si>
  <si>
    <t>reserves</t>
  </si>
  <si>
    <t xml:space="preserve">Retained </t>
  </si>
  <si>
    <t>earnings</t>
  </si>
  <si>
    <t>Currency translation differences</t>
  </si>
  <si>
    <t>CONDENSED CONSOLIDATED CASH FLOW STATEMENT</t>
  </si>
  <si>
    <t>Interest paid</t>
  </si>
  <si>
    <t>Interest received</t>
  </si>
  <si>
    <t>Revenue</t>
  </si>
  <si>
    <t>Cash receipts from operations</t>
  </si>
  <si>
    <t>Cash payments to suppliers and employees</t>
  </si>
  <si>
    <t>Purchase of property, plant and equipment</t>
  </si>
  <si>
    <t>Cash flows from financing activities</t>
  </si>
  <si>
    <t>Cash flows from operating activities</t>
  </si>
  <si>
    <t>Cash flows from investing activities</t>
  </si>
  <si>
    <t>Cash and cash equivalents comprise:</t>
  </si>
  <si>
    <t xml:space="preserve">Cash and cash equivalents brought forward </t>
  </si>
  <si>
    <t xml:space="preserve">Cash and cash equivalents carried forward </t>
  </si>
  <si>
    <t>Cash and bank balances</t>
  </si>
  <si>
    <t>Deposits with licensed banks</t>
  </si>
  <si>
    <t>Bank overdrafts</t>
  </si>
  <si>
    <t xml:space="preserve">This Condensed Consolidated Balance Sheet should be read in conjunction with the Annual Financial Report </t>
  </si>
  <si>
    <t xml:space="preserve">This Condensed Consolidated Income Statement should be read in conjunction with the Annual Financial Report </t>
  </si>
  <si>
    <t xml:space="preserve">This Condensed Consolidated Statement of Changes in Equity should be read in conjunction with the Annual Financial Report </t>
  </si>
  <si>
    <t xml:space="preserve">This Condensed Consolidated Cash Flow statement should be read in conjunction with </t>
  </si>
  <si>
    <t>Taxation</t>
  </si>
  <si>
    <t>Proceeds from disposal of property, plant and equipment</t>
  </si>
  <si>
    <t>Effects of exchange rate changes on cash and cash equivalents</t>
  </si>
  <si>
    <t>Repayment of hire purchase creditors</t>
  </si>
  <si>
    <t>Borrowings</t>
  </si>
  <si>
    <t>Deferred tax liabilities</t>
  </si>
  <si>
    <t>Balance as at 1 January 2005</t>
  </si>
  <si>
    <t>Profit / (Loss) from operations</t>
  </si>
  <si>
    <t>Net decrease in cash and cash equivalents</t>
  </si>
  <si>
    <t>Net cash generated from / (used in) operating activities</t>
  </si>
  <si>
    <t>Amount due from associates</t>
  </si>
  <si>
    <t xml:space="preserve"> -</t>
  </si>
  <si>
    <t>Net cash (used in) financing activities</t>
  </si>
  <si>
    <t>Profit / (Loss) before taxation</t>
  </si>
  <si>
    <t>Tax recoverable</t>
  </si>
  <si>
    <t>Deferred tax assets</t>
  </si>
  <si>
    <t>Provision for taxation</t>
  </si>
  <si>
    <t>Issue of Shares</t>
  </si>
  <si>
    <t>Dividend - 31 December 2004</t>
  </si>
  <si>
    <t>Dividend paid</t>
  </si>
  <si>
    <t>Tax recovered/(paid)</t>
  </si>
  <si>
    <t>Net cash generated from / (used in) investing activities</t>
  </si>
  <si>
    <t xml:space="preserve">- Basic   </t>
  </si>
  <si>
    <t xml:space="preserve">- Diluted  </t>
  </si>
  <si>
    <t>As at 31/12/2005</t>
  </si>
  <si>
    <t>Balance as at 31 December 2005</t>
  </si>
  <si>
    <t>Net profit / (loss) for the year</t>
  </si>
  <si>
    <t>Income received from other investments</t>
  </si>
  <si>
    <t>Proceeds from term loans and other bank borrowings</t>
  </si>
  <si>
    <t>Repayment of borrowings from related party</t>
  </si>
  <si>
    <t>Proceeds from balance due from associates</t>
  </si>
  <si>
    <t>NA</t>
  </si>
  <si>
    <t>for the year ended 31 December 2005.</t>
  </si>
  <si>
    <t>Balance as at 1 January 2006</t>
  </si>
  <si>
    <t>Dividend - 31 December 2005</t>
  </si>
  <si>
    <t>the Annual Financial Report for the year ended 31 December 2005.</t>
  </si>
  <si>
    <t>Net profit / (loss) for the period</t>
  </si>
  <si>
    <t>ordinary equity holders of the parent (RM)</t>
  </si>
  <si>
    <t>Net assets per share attributable to</t>
  </si>
  <si>
    <t>Attributable to :</t>
  </si>
  <si>
    <t>Minority Interest</t>
  </si>
  <si>
    <t xml:space="preserve">Earnings per share for profit attributable to </t>
  </si>
  <si>
    <t>equity holders of the Company</t>
  </si>
  <si>
    <t>Share of profit of associates</t>
  </si>
  <si>
    <t>Profit / (loss) for the period</t>
  </si>
  <si>
    <t xml:space="preserve">Operating Expenses </t>
  </si>
  <si>
    <t>Other income</t>
  </si>
  <si>
    <t>Equity holders of the parent</t>
  </si>
  <si>
    <t>Attributable to equity holders of the Company</t>
  </si>
  <si>
    <t>Other</t>
  </si>
  <si>
    <t>Total Equity</t>
  </si>
  <si>
    <t>Acquisition of Diperdana's business</t>
  </si>
  <si>
    <t>and its subsidiaries</t>
  </si>
  <si>
    <t>Retained profits</t>
  </si>
  <si>
    <t>Total equity</t>
  </si>
  <si>
    <t>EQUITY</t>
  </si>
  <si>
    <t>LIABILITIES</t>
  </si>
  <si>
    <t>Non-current liabilities</t>
  </si>
  <si>
    <t>Current Liabilities</t>
  </si>
  <si>
    <t>TOTAL EQUITY AND LIABILITIES</t>
  </si>
  <si>
    <t>ASSETS</t>
  </si>
  <si>
    <t>Non-current Assets</t>
  </si>
  <si>
    <t>Investments in associates</t>
  </si>
  <si>
    <t xml:space="preserve">Intangible assets </t>
  </si>
  <si>
    <t>TOTAL ASSETS</t>
  </si>
  <si>
    <t>Total Liabilities</t>
  </si>
  <si>
    <t>Capital and reserves attributable to the Company's</t>
  </si>
  <si>
    <t>equity holders</t>
  </si>
  <si>
    <t>Reclassification of opening minority interest</t>
  </si>
  <si>
    <t>Reserves attributable to revenue</t>
  </si>
  <si>
    <t>Reserves attributable to capital</t>
  </si>
  <si>
    <t>(Restated)</t>
  </si>
  <si>
    <t>x</t>
  </si>
  <si>
    <t>Repayment of  loans and other bank borrowings</t>
  </si>
  <si>
    <t>Acquisition of subsidiaries, net of cash acquired</t>
  </si>
  <si>
    <t>Proceeds from disposal of unquoted shares</t>
  </si>
  <si>
    <t>Interim Report for the period ended 30 September 2006</t>
  </si>
  <si>
    <t>As at 30/9/2006</t>
  </si>
  <si>
    <t>Interim report for the period ended 30 September 2006</t>
  </si>
  <si>
    <t>9 months ended</t>
  </si>
  <si>
    <t>Proceeds from disposal of associates</t>
  </si>
  <si>
    <t>Interim Report for the Period Ended 30 September 2006</t>
  </si>
  <si>
    <t>Disposal of subsidiary</t>
  </si>
  <si>
    <t>Balance as at 30 September 2006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</si>
</sst>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#,###,_);\(#,###,\)"/>
    <numFmt numFmtId="181" formatCode="#,##0.0_);[Red]\(#,##0.0\)"/>
    <numFmt numFmtId="182" formatCode="0_);\(0\)"/>
    <numFmt numFmtId="183" formatCode="0.0_);\(0.0\)"/>
    <numFmt numFmtId="184" formatCode="0.00_);\(0.00\)"/>
    <numFmt numFmtId="185" formatCode="0.0"/>
    <numFmt numFmtId="186" formatCode="_ * #,##0_ ;_ * \(#,##0\)_ ;_ * &quot;-&quot;_ ;_ @_ "/>
    <numFmt numFmtId="187" formatCode="_(* #,##0.000_);_(* \(#,##0.000\);_(* &quot;-&quot;??_);_(@_)"/>
    <numFmt numFmtId="188" formatCode="_(* #,##0.0000_);_(* \(#,##0.0000\);_(* &quot;-&quot;??_);_(@_)"/>
    <numFmt numFmtId="189" formatCode="0.0%"/>
    <numFmt numFmtId="190" formatCode="_(* #,##0.00000_);_(* \(#,##0.00000\);_(* &quot;-&quot;?????_);_(@_)"/>
    <numFmt numFmtId="191" formatCode="_(* #,##0.0000000000_);_(* \(#,##0.0000000000\);_(* &quot;-&quot;??????????_);_(@_)"/>
    <numFmt numFmtId="192" formatCode="_(* #,##0.00000000000_);_(* \(#,##0.00000000000\);_(* &quot;-&quot;???????????_);_(@_)"/>
    <numFmt numFmtId="193" formatCode="_(* #,##0.000000000000_);_(* \(#,##0.000000000000\);_(* &quot;-&quot;????????????_);_(@_)"/>
    <numFmt numFmtId="194" formatCode="_(* #,##0.000_);_(* \(#,##0.000\);_(* &quot;-&quot;???_);_(@_)"/>
    <numFmt numFmtId="195" formatCode="[$-409]dddd\,\ mmmm\ dd\,\ yyyy"/>
    <numFmt numFmtId="196" formatCode="[$-809]d\ mmmm\ yyyy;@"/>
    <numFmt numFmtId="197" formatCode="[$-809]dd\ mmmm\ yyyy;@"/>
  </numFmts>
  <fonts count="1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9" fontId="1" fillId="0" borderId="0" xfId="15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179" fontId="1" fillId="0" borderId="0" xfId="15" applyNumberFormat="1" applyFont="1" applyBorder="1" applyAlignment="1">
      <alignment/>
    </xf>
    <xf numFmtId="179" fontId="1" fillId="0" borderId="1" xfId="15" applyNumberFormat="1" applyFont="1" applyBorder="1" applyAlignment="1">
      <alignment/>
    </xf>
    <xf numFmtId="0" fontId="3" fillId="0" borderId="0" xfId="0" applyFont="1" applyAlignment="1">
      <alignment/>
    </xf>
    <xf numFmtId="179" fontId="1" fillId="0" borderId="2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7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9" fontId="5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179" fontId="5" fillId="0" borderId="0" xfId="15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79" fontId="5" fillId="0" borderId="0" xfId="15" applyNumberFormat="1" applyFont="1" applyBorder="1" applyAlignment="1">
      <alignment/>
    </xf>
    <xf numFmtId="186" fontId="4" fillId="0" borderId="0" xfId="16" applyNumberFormat="1" applyFont="1" applyAlignment="1">
      <alignment horizontal="left"/>
    </xf>
    <xf numFmtId="186" fontId="4" fillId="0" borderId="0" xfId="16" applyNumberFormat="1" applyFont="1" applyFill="1" applyAlignment="1" quotePrefix="1">
      <alignment horizontal="left"/>
    </xf>
    <xf numFmtId="179" fontId="4" fillId="0" borderId="0" xfId="0" applyNumberFormat="1" applyFont="1" applyBorder="1" applyAlignment="1">
      <alignment/>
    </xf>
    <xf numFmtId="179" fontId="5" fillId="0" borderId="0" xfId="15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179" fontId="8" fillId="0" borderId="0" xfId="15" applyNumberFormat="1" applyFont="1" applyAlignment="1">
      <alignment horizontal="center"/>
    </xf>
    <xf numFmtId="179" fontId="8" fillId="0" borderId="0" xfId="15" applyNumberFormat="1" applyFont="1" applyAlignment="1">
      <alignment/>
    </xf>
    <xf numFmtId="179" fontId="8" fillId="0" borderId="1" xfId="15" applyNumberFormat="1" applyFont="1" applyBorder="1" applyAlignment="1">
      <alignment/>
    </xf>
    <xf numFmtId="0" fontId="8" fillId="0" borderId="0" xfId="0" applyFont="1" applyAlignment="1" quotePrefix="1">
      <alignment/>
    </xf>
    <xf numFmtId="179" fontId="8" fillId="0" borderId="0" xfId="15" applyNumberFormat="1" applyFont="1" applyAlignment="1">
      <alignment horizontal="right"/>
    </xf>
    <xf numFmtId="43" fontId="8" fillId="0" borderId="0" xfId="15" applyFont="1" applyAlignment="1">
      <alignment horizontal="right"/>
    </xf>
    <xf numFmtId="179" fontId="2" fillId="0" borderId="0" xfId="15" applyNumberFormat="1" applyFont="1" applyAlignment="1">
      <alignment/>
    </xf>
    <xf numFmtId="43" fontId="1" fillId="0" borderId="0" xfId="15" applyFont="1" applyAlignment="1">
      <alignment/>
    </xf>
    <xf numFmtId="179" fontId="8" fillId="0" borderId="2" xfId="15" applyNumberFormat="1" applyFont="1" applyBorder="1" applyAlignment="1">
      <alignment/>
    </xf>
    <xf numFmtId="179" fontId="8" fillId="0" borderId="0" xfId="15" applyNumberFormat="1" applyFont="1" applyBorder="1" applyAlignment="1">
      <alignment/>
    </xf>
    <xf numFmtId="179" fontId="1" fillId="0" borderId="3" xfId="15" applyNumberFormat="1" applyFont="1" applyBorder="1" applyAlignment="1">
      <alignment/>
    </xf>
    <xf numFmtId="179" fontId="1" fillId="0" borderId="4" xfId="15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179" fontId="1" fillId="0" borderId="0" xfId="15" applyNumberFormat="1" applyFont="1" applyFill="1" applyBorder="1" applyAlignment="1">
      <alignment/>
    </xf>
    <xf numFmtId="179" fontId="1" fillId="0" borderId="3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179" fontId="1" fillId="0" borderId="4" xfId="0" applyNumberFormat="1" applyFont="1" applyBorder="1" applyAlignment="1">
      <alignment/>
    </xf>
    <xf numFmtId="186" fontId="13" fillId="0" borderId="0" xfId="16" applyNumberFormat="1" applyFont="1" applyFill="1" applyAlignment="1">
      <alignment horizontal="left"/>
    </xf>
    <xf numFmtId="179" fontId="8" fillId="0" borderId="0" xfId="21" applyNumberFormat="1" applyFont="1" applyAlignment="1">
      <alignment/>
    </xf>
    <xf numFmtId="196" fontId="8" fillId="0" borderId="0" xfId="0" applyNumberFormat="1" applyFont="1" applyAlignment="1">
      <alignment horizontal="center"/>
    </xf>
    <xf numFmtId="197" fontId="8" fillId="0" borderId="0" xfId="0" applyNumberFormat="1" applyFont="1" applyAlignment="1">
      <alignment horizontal="center"/>
    </xf>
    <xf numFmtId="197" fontId="5" fillId="0" borderId="0" xfId="0" applyNumberFormat="1" applyFont="1" applyAlignment="1">
      <alignment horizontal="center"/>
    </xf>
    <xf numFmtId="179" fontId="8" fillId="0" borderId="1" xfId="15" applyNumberFormat="1" applyFont="1" applyBorder="1" applyAlignment="1">
      <alignment horizontal="center"/>
    </xf>
    <xf numFmtId="9" fontId="8" fillId="0" borderId="0" xfId="21" applyFont="1" applyAlignment="1">
      <alignment/>
    </xf>
    <xf numFmtId="179" fontId="5" fillId="0" borderId="0" xfId="15" applyNumberFormat="1" applyFont="1" applyAlignment="1">
      <alignment/>
    </xf>
    <xf numFmtId="179" fontId="4" fillId="0" borderId="0" xfId="15" applyNumberFormat="1" applyFont="1" applyAlignment="1">
      <alignment/>
    </xf>
    <xf numFmtId="179" fontId="5" fillId="0" borderId="0" xfId="15" applyNumberFormat="1" applyFont="1" applyAlignment="1">
      <alignment horizontal="center"/>
    </xf>
    <xf numFmtId="179" fontId="5" fillId="0" borderId="3" xfId="15" applyNumberFormat="1" applyFont="1" applyBorder="1" applyAlignment="1">
      <alignment/>
    </xf>
    <xf numFmtId="179" fontId="6" fillId="0" borderId="0" xfId="15" applyNumberFormat="1" applyFont="1" applyAlignment="1">
      <alignment/>
    </xf>
    <xf numFmtId="179" fontId="4" fillId="0" borderId="0" xfId="15" applyNumberFormat="1" applyFont="1" applyAlignment="1">
      <alignment/>
    </xf>
    <xf numFmtId="179" fontId="5" fillId="0" borderId="2" xfId="15" applyNumberFormat="1" applyFont="1" applyBorder="1" applyAlignment="1">
      <alignment/>
    </xf>
    <xf numFmtId="179" fontId="4" fillId="0" borderId="0" xfId="15" applyNumberFormat="1" applyFont="1" applyFill="1" applyAlignment="1" quotePrefix="1">
      <alignment/>
    </xf>
    <xf numFmtId="179" fontId="4" fillId="0" borderId="0" xfId="15" applyNumberFormat="1" applyFont="1" applyFill="1" applyAlignment="1">
      <alignment/>
    </xf>
    <xf numFmtId="179" fontId="6" fillId="0" borderId="0" xfId="15" applyNumberFormat="1" applyFont="1" applyAlignment="1">
      <alignment/>
    </xf>
    <xf numFmtId="179" fontId="8" fillId="0" borderId="0" xfId="0" applyNumberFormat="1" applyFont="1" applyAlignment="1">
      <alignment/>
    </xf>
    <xf numFmtId="197" fontId="8" fillId="0" borderId="0" xfId="0" applyNumberFormat="1" applyFont="1" applyAlignment="1" quotePrefix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sther.kee\My%20Documents\esther\CONSO\Consol%20Q3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ysis of results"/>
      <sheetName val="analysis2"/>
      <sheetName val="MI"/>
      <sheetName val="Borrowings"/>
      <sheetName val="Segment BS"/>
      <sheetName val="permanent adj"/>
      <sheetName val="Co-P&amp;L"/>
      <sheetName val="Co-BS"/>
      <sheetName val="current adj"/>
      <sheetName val="Group-P&amp;L"/>
      <sheetName val="Group-BS"/>
      <sheetName val="Translation of BS"/>
      <sheetName val="Translation of IS"/>
      <sheetName val="Segment PnL"/>
      <sheetName val=" Assoc"/>
      <sheetName val="Other income "/>
      <sheetName val="Cashflow"/>
      <sheetName val="cashflow forex"/>
      <sheetName val="Disposal ass"/>
      <sheetName val="Disposalshare"/>
      <sheetName val="DisposalNKL"/>
      <sheetName val="PDisposal"/>
      <sheetName val="PROCEED"/>
      <sheetName val="FAgroup"/>
      <sheetName val="FAKL"/>
      <sheetName val="FC"/>
      <sheetName val="QINVEST"/>
      <sheetName val="OP"/>
      <sheetName val="Movement"/>
    </sheetNames>
    <sheetDataSet>
      <sheetData sheetId="10">
        <row r="32">
          <cell r="C32">
            <v>5535263.029999999</v>
          </cell>
        </row>
        <row r="33">
          <cell r="C33">
            <v>21041485.391446996</v>
          </cell>
        </row>
        <row r="46">
          <cell r="C46">
            <v>22552914.14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3"/>
  <sheetViews>
    <sheetView zoomScale="79" zoomScaleNormal="79" workbookViewId="0" topLeftCell="A13">
      <selection activeCell="D24" sqref="D24"/>
    </sheetView>
  </sheetViews>
  <sheetFormatPr defaultColWidth="9.140625" defaultRowHeight="12.75"/>
  <cols>
    <col min="1" max="2" width="2.8515625" style="29" customWidth="1"/>
    <col min="3" max="3" width="39.421875" style="29" customWidth="1"/>
    <col min="4" max="4" width="22.57421875" style="29" bestFit="1" customWidth="1"/>
    <col min="5" max="5" width="1.8515625" style="29" customWidth="1"/>
    <col min="6" max="6" width="25.28125" style="29" bestFit="1" customWidth="1"/>
    <col min="7" max="7" width="3.421875" style="29" customWidth="1"/>
    <col min="8" max="8" width="22.57421875" style="29" bestFit="1" customWidth="1"/>
    <col min="9" max="9" width="2.00390625" style="29" customWidth="1"/>
    <col min="10" max="10" width="25.28125" style="29" bestFit="1" customWidth="1"/>
    <col min="11" max="11" width="2.7109375" style="29" customWidth="1"/>
    <col min="12" max="12" width="16.140625" style="34" hidden="1" customWidth="1"/>
    <col min="13" max="13" width="11.57421875" style="29" hidden="1" customWidth="1"/>
    <col min="14" max="14" width="9.7109375" style="29" hidden="1" customWidth="1"/>
    <col min="15" max="19" width="0" style="29" hidden="1" customWidth="1"/>
    <col min="20" max="16384" width="9.140625" style="29" customWidth="1"/>
  </cols>
  <sheetData>
    <row r="2" spans="2:10" ht="18.75">
      <c r="B2" s="28" t="s">
        <v>16</v>
      </c>
      <c r="C2" s="28"/>
      <c r="J2" s="30"/>
    </row>
    <row r="3" spans="2:3" ht="18.75">
      <c r="B3" s="28" t="s">
        <v>26</v>
      </c>
      <c r="C3" s="28"/>
    </row>
    <row r="4" spans="2:3" ht="18.75">
      <c r="B4" s="28" t="s">
        <v>137</v>
      </c>
      <c r="C4" s="28"/>
    </row>
    <row r="5" ht="18.75">
      <c r="B5" s="31" t="s">
        <v>0</v>
      </c>
    </row>
    <row r="7" spans="4:12" s="32" customFormat="1" ht="18.75">
      <c r="D7" s="69" t="s">
        <v>2</v>
      </c>
      <c r="E7" s="69"/>
      <c r="F7" s="69"/>
      <c r="H7" s="69" t="s">
        <v>3</v>
      </c>
      <c r="I7" s="69"/>
      <c r="J7" s="69"/>
      <c r="L7" s="33"/>
    </row>
    <row r="8" spans="4:12" s="32" customFormat="1" ht="18.75">
      <c r="D8" s="32" t="s">
        <v>4</v>
      </c>
      <c r="F8" s="32" t="s">
        <v>5</v>
      </c>
      <c r="H8" s="32" t="s">
        <v>6</v>
      </c>
      <c r="J8" s="32" t="s">
        <v>5</v>
      </c>
      <c r="L8" s="33"/>
    </row>
    <row r="9" spans="4:12" s="32" customFormat="1" ht="18.75">
      <c r="D9" s="32" t="s">
        <v>7</v>
      </c>
      <c r="F9" s="32" t="s">
        <v>8</v>
      </c>
      <c r="H9" s="32" t="s">
        <v>7</v>
      </c>
      <c r="J9" s="32" t="s">
        <v>8</v>
      </c>
      <c r="L9" s="33"/>
    </row>
    <row r="10" spans="4:12" s="32" customFormat="1" ht="18.75">
      <c r="D10" s="32" t="s">
        <v>9</v>
      </c>
      <c r="F10" s="32" t="s">
        <v>9</v>
      </c>
      <c r="H10" s="32" t="s">
        <v>10</v>
      </c>
      <c r="J10" s="32" t="s">
        <v>10</v>
      </c>
      <c r="L10" s="33"/>
    </row>
    <row r="11" spans="4:12" s="32" customFormat="1" ht="18.75">
      <c r="D11" s="52">
        <v>38990</v>
      </c>
      <c r="F11" s="53">
        <v>38625</v>
      </c>
      <c r="G11" s="53"/>
      <c r="H11" s="68">
        <v>38990</v>
      </c>
      <c r="I11" s="53"/>
      <c r="J11" s="53">
        <v>38625</v>
      </c>
      <c r="L11" s="33"/>
    </row>
    <row r="12" spans="4:12" s="32" customFormat="1" ht="18.75">
      <c r="D12" s="32" t="s">
        <v>11</v>
      </c>
      <c r="F12" s="32" t="s">
        <v>11</v>
      </c>
      <c r="H12" s="32" t="s">
        <v>11</v>
      </c>
      <c r="J12" s="32" t="s">
        <v>11</v>
      </c>
      <c r="L12" s="33"/>
    </row>
    <row r="13" spans="6:10" ht="18.75">
      <c r="F13" s="32"/>
      <c r="G13" s="32"/>
      <c r="H13" s="32"/>
      <c r="I13" s="32"/>
      <c r="J13" s="32"/>
    </row>
    <row r="14" spans="6:10" ht="18.75">
      <c r="F14" s="32"/>
      <c r="G14" s="32"/>
      <c r="H14" s="32"/>
      <c r="I14" s="32"/>
      <c r="J14" s="32"/>
    </row>
    <row r="15" spans="2:13" ht="18" customHeight="1">
      <c r="B15" s="29" t="s">
        <v>39</v>
      </c>
      <c r="D15" s="33">
        <f>+H15-L15</f>
        <v>72711.67512259999</v>
      </c>
      <c r="E15" s="34"/>
      <c r="F15" s="34">
        <v>63870</v>
      </c>
      <c r="G15" s="34"/>
      <c r="H15" s="33">
        <v>199590</v>
      </c>
      <c r="I15" s="34"/>
      <c r="J15" s="34">
        <v>169512</v>
      </c>
      <c r="K15" s="34"/>
      <c r="L15" s="34">
        <v>126878.32487740001</v>
      </c>
      <c r="M15" s="51"/>
    </row>
    <row r="16" spans="2:13" ht="18" customHeight="1">
      <c r="B16" s="29" t="s">
        <v>101</v>
      </c>
      <c r="D16" s="33">
        <f>+H16-L16</f>
        <v>-67688.35708969999</v>
      </c>
      <c r="E16" s="34"/>
      <c r="F16" s="34">
        <v>-61517</v>
      </c>
      <c r="G16" s="34"/>
      <c r="H16" s="34">
        <f>-85976-51102-39438-4858-1674+2335+2</f>
        <v>-180711</v>
      </c>
      <c r="I16" s="34"/>
      <c r="J16" s="34">
        <v>-165499</v>
      </c>
      <c r="K16" s="34"/>
      <c r="L16" s="34">
        <v>-113022.64291030001</v>
      </c>
      <c r="M16" s="51"/>
    </row>
    <row r="17" spans="2:13" ht="18" customHeight="1">
      <c r="B17" s="29" t="s">
        <v>102</v>
      </c>
      <c r="D17" s="55">
        <f>+H17-L17</f>
        <v>3707.7764000000006</v>
      </c>
      <c r="E17" s="34"/>
      <c r="F17" s="35">
        <v>721</v>
      </c>
      <c r="G17" s="34"/>
      <c r="H17" s="35">
        <f>1453+1674+4858-2335</f>
        <v>5650</v>
      </c>
      <c r="I17" s="34"/>
      <c r="J17" s="35">
        <v>1839</v>
      </c>
      <c r="K17" s="34"/>
      <c r="L17" s="34">
        <v>1942.2235999999994</v>
      </c>
      <c r="M17" s="51"/>
    </row>
    <row r="18" spans="2:13" ht="18" customHeight="1">
      <c r="B18" s="29" t="s">
        <v>63</v>
      </c>
      <c r="D18" s="34">
        <f>SUM(D15:D17)+1</f>
        <v>8732.094432900003</v>
      </c>
      <c r="E18" s="34"/>
      <c r="F18" s="34">
        <f>SUM(F15:F17)</f>
        <v>3074</v>
      </c>
      <c r="G18" s="34"/>
      <c r="H18" s="34">
        <f>SUM(H15:H17)</f>
        <v>24529</v>
      </c>
      <c r="I18" s="34"/>
      <c r="J18" s="34">
        <f>SUM(J15:J17)</f>
        <v>5852</v>
      </c>
      <c r="K18" s="34"/>
      <c r="L18" s="34">
        <v>15797.905567099997</v>
      </c>
      <c r="M18" s="51"/>
    </row>
    <row r="19" spans="2:13" ht="18" customHeight="1">
      <c r="B19" s="29" t="s">
        <v>1</v>
      </c>
      <c r="D19" s="34">
        <f>+H19-L19</f>
        <v>-1622.0329400000005</v>
      </c>
      <c r="E19" s="34"/>
      <c r="F19" s="34">
        <v>-2219</v>
      </c>
      <c r="G19" s="34"/>
      <c r="H19" s="34">
        <v>-5677</v>
      </c>
      <c r="I19" s="34"/>
      <c r="J19" s="34">
        <v>-6139</v>
      </c>
      <c r="K19" s="34"/>
      <c r="L19" s="34">
        <v>-4054.9670599999995</v>
      </c>
      <c r="M19" s="51"/>
    </row>
    <row r="20" spans="2:13" ht="18" customHeight="1">
      <c r="B20" s="29" t="s">
        <v>99</v>
      </c>
      <c r="D20" s="35">
        <f>+H20-L20</f>
        <v>122.3483599468168</v>
      </c>
      <c r="E20" s="34"/>
      <c r="F20" s="35">
        <v>707</v>
      </c>
      <c r="G20" s="34"/>
      <c r="H20" s="35">
        <v>1933</v>
      </c>
      <c r="I20" s="34"/>
      <c r="J20" s="35">
        <v>2342</v>
      </c>
      <c r="K20" s="34"/>
      <c r="L20" s="34">
        <v>1810.6516400531832</v>
      </c>
      <c r="M20" s="51"/>
    </row>
    <row r="21" spans="2:13" ht="18" customHeight="1">
      <c r="B21" s="29" t="s">
        <v>69</v>
      </c>
      <c r="D21" s="34">
        <f>SUM(D18:D20)</f>
        <v>7232.4098528468185</v>
      </c>
      <c r="E21" s="34"/>
      <c r="F21" s="34">
        <f>SUM(F18:F20)</f>
        <v>1562</v>
      </c>
      <c r="G21" s="34"/>
      <c r="H21" s="34">
        <f>SUM(H18:H20)</f>
        <v>20785</v>
      </c>
      <c r="I21" s="34"/>
      <c r="J21" s="34">
        <f>SUM(J18:J20)</f>
        <v>2055</v>
      </c>
      <c r="K21" s="34"/>
      <c r="L21" s="34">
        <v>13553.590147153182</v>
      </c>
      <c r="M21" s="51"/>
    </row>
    <row r="22" spans="2:15" ht="18" customHeight="1">
      <c r="B22" s="29" t="s">
        <v>56</v>
      </c>
      <c r="D22" s="34">
        <f>+H22-L22</f>
        <v>-2586.5306602686437</v>
      </c>
      <c r="E22" s="34"/>
      <c r="F22" s="34">
        <v>-821</v>
      </c>
      <c r="G22" s="34"/>
      <c r="H22" s="35">
        <f>-4489-281-1746</f>
        <v>-6516</v>
      </c>
      <c r="I22" s="34"/>
      <c r="J22" s="34">
        <f>-1473</f>
        <v>-1473</v>
      </c>
      <c r="K22" s="34"/>
      <c r="L22" s="34">
        <v>-3929.4693397313563</v>
      </c>
      <c r="M22" s="51">
        <v>4607</v>
      </c>
      <c r="N22" s="56">
        <f>+M22/H21</f>
        <v>0.22165022853019004</v>
      </c>
      <c r="O22" s="67"/>
    </row>
    <row r="23" spans="2:14" ht="18" customHeight="1" thickBot="1">
      <c r="B23" s="29" t="s">
        <v>100</v>
      </c>
      <c r="D23" s="41">
        <f>SUM(D21:D22)-1</f>
        <v>4644.879192578175</v>
      </c>
      <c r="E23" s="34"/>
      <c r="F23" s="41">
        <f>SUM(F21:F22)</f>
        <v>741</v>
      </c>
      <c r="G23" s="34"/>
      <c r="H23" s="41">
        <f>SUM(H21:H22)</f>
        <v>14269</v>
      </c>
      <c r="I23" s="34"/>
      <c r="J23" s="41">
        <f>SUM(J21:J22)</f>
        <v>582</v>
      </c>
      <c r="K23" s="34"/>
      <c r="L23" s="34">
        <v>9624.120807421825</v>
      </c>
      <c r="M23" s="51"/>
      <c r="N23" s="67">
        <f>H21</f>
        <v>20785</v>
      </c>
    </row>
    <row r="24" spans="4:14" ht="18" customHeight="1" thickTop="1">
      <c r="D24" s="56"/>
      <c r="E24" s="34"/>
      <c r="F24" s="34"/>
      <c r="G24" s="34"/>
      <c r="H24" s="56"/>
      <c r="I24" s="34"/>
      <c r="J24" s="34"/>
      <c r="K24" s="34"/>
      <c r="M24" s="51"/>
      <c r="N24" s="56">
        <v>0.28</v>
      </c>
    </row>
    <row r="25" spans="2:14" ht="18" customHeight="1">
      <c r="B25" s="29" t="s">
        <v>95</v>
      </c>
      <c r="D25" s="34"/>
      <c r="E25" s="34"/>
      <c r="F25" s="34"/>
      <c r="G25" s="34"/>
      <c r="H25" s="34"/>
      <c r="I25" s="34"/>
      <c r="J25" s="34"/>
      <c r="K25" s="34"/>
      <c r="M25" s="51"/>
      <c r="N25" s="29">
        <f>+N23*N24</f>
        <v>5819.8</v>
      </c>
    </row>
    <row r="26" spans="3:14" ht="18" customHeight="1">
      <c r="C26" s="29" t="s">
        <v>103</v>
      </c>
      <c r="D26" s="34">
        <f>D23-D27</f>
        <v>4795.580772578175</v>
      </c>
      <c r="E26" s="34"/>
      <c r="F26" s="34">
        <f>F23-F27</f>
        <v>981</v>
      </c>
      <c r="G26" s="34"/>
      <c r="H26" s="34">
        <f>H23-H27</f>
        <v>14152</v>
      </c>
      <c r="I26" s="34"/>
      <c r="J26" s="34">
        <f>J23-J27</f>
        <v>541</v>
      </c>
      <c r="K26" s="34"/>
      <c r="L26" s="34">
        <v>9356.419227421826</v>
      </c>
      <c r="M26" s="51"/>
      <c r="N26" s="67">
        <f>N25+H22</f>
        <v>-696.1999999999998</v>
      </c>
    </row>
    <row r="27" spans="3:13" ht="18" customHeight="1">
      <c r="C27" s="29" t="s">
        <v>96</v>
      </c>
      <c r="D27" s="34">
        <f>+H27-L27</f>
        <v>-150.70157999999992</v>
      </c>
      <c r="E27" s="34"/>
      <c r="F27" s="34">
        <v>-240</v>
      </c>
      <c r="G27" s="34"/>
      <c r="H27" s="34">
        <v>117</v>
      </c>
      <c r="I27" s="34"/>
      <c r="J27" s="34">
        <v>41</v>
      </c>
      <c r="K27" s="34"/>
      <c r="L27" s="34">
        <v>267.7015799999999</v>
      </c>
      <c r="M27" s="51"/>
    </row>
    <row r="28" spans="4:13" ht="18" customHeight="1" thickBot="1">
      <c r="D28" s="41">
        <f>D26+D27</f>
        <v>4644.879192578175</v>
      </c>
      <c r="E28" s="34"/>
      <c r="F28" s="41">
        <f>SUM(F26:F27)</f>
        <v>741</v>
      </c>
      <c r="G28" s="34"/>
      <c r="H28" s="41">
        <f>H26+H27</f>
        <v>14269</v>
      </c>
      <c r="I28" s="34"/>
      <c r="J28" s="41">
        <f>SUM(J26:J27)</f>
        <v>582</v>
      </c>
      <c r="K28" s="34"/>
      <c r="L28" s="34">
        <v>9624.120807421827</v>
      </c>
      <c r="M28" s="51"/>
    </row>
    <row r="29" spans="4:13" ht="18" customHeight="1" thickTop="1">
      <c r="D29" s="42"/>
      <c r="E29" s="34"/>
      <c r="F29" s="42"/>
      <c r="G29" s="34"/>
      <c r="H29" s="42"/>
      <c r="I29" s="34"/>
      <c r="J29" s="42"/>
      <c r="K29" s="34"/>
      <c r="M29" s="51"/>
    </row>
    <row r="30" spans="4:11" ht="18" customHeight="1">
      <c r="D30" s="42"/>
      <c r="E30" s="34"/>
      <c r="F30" s="42"/>
      <c r="G30" s="34"/>
      <c r="H30" s="42"/>
      <c r="I30" s="34"/>
      <c r="J30" s="42"/>
      <c r="K30" s="34"/>
    </row>
    <row r="31" spans="2:11" ht="18" customHeight="1">
      <c r="B31" s="29" t="s">
        <v>97</v>
      </c>
      <c r="D31" s="34"/>
      <c r="E31" s="34"/>
      <c r="F31" s="34"/>
      <c r="G31" s="34"/>
      <c r="H31" s="34"/>
      <c r="I31" s="34"/>
      <c r="J31" s="34"/>
      <c r="K31" s="34"/>
    </row>
    <row r="32" spans="2:11" ht="18" customHeight="1">
      <c r="B32" s="29" t="s">
        <v>98</v>
      </c>
      <c r="D32" s="37" t="s">
        <v>27</v>
      </c>
      <c r="E32" s="37"/>
      <c r="F32" s="37" t="s">
        <v>27</v>
      </c>
      <c r="G32" s="37"/>
      <c r="H32" s="37" t="s">
        <v>27</v>
      </c>
      <c r="I32" s="37"/>
      <c r="J32" s="37" t="s">
        <v>27</v>
      </c>
      <c r="K32" s="34"/>
    </row>
    <row r="33" ht="18" customHeight="1">
      <c r="K33" s="34"/>
    </row>
    <row r="34" spans="3:11" ht="18" customHeight="1">
      <c r="C34" s="36" t="s">
        <v>78</v>
      </c>
      <c r="D34" s="38">
        <f>D26/'BS'!E33*100</f>
        <v>1.992190384879538</v>
      </c>
      <c r="E34" s="38"/>
      <c r="F34" s="38">
        <v>0.41</v>
      </c>
      <c r="G34" s="38"/>
      <c r="H34" s="38">
        <f>H26/'BS'!G33*100</f>
        <v>5.879054000722834</v>
      </c>
      <c r="I34" s="38"/>
      <c r="J34" s="38">
        <v>0.24</v>
      </c>
      <c r="K34" s="34"/>
    </row>
    <row r="35" spans="3:11" ht="18" customHeight="1">
      <c r="C35" s="36" t="s">
        <v>79</v>
      </c>
      <c r="D35" s="38" t="s">
        <v>87</v>
      </c>
      <c r="E35" s="38"/>
      <c r="F35" s="38" t="s">
        <v>87</v>
      </c>
      <c r="G35" s="38"/>
      <c r="H35" s="38" t="s">
        <v>87</v>
      </c>
      <c r="I35" s="38"/>
      <c r="J35" s="38" t="s">
        <v>87</v>
      </c>
      <c r="K35" s="34"/>
    </row>
    <row r="36" ht="18" customHeight="1">
      <c r="K36" s="34"/>
    </row>
    <row r="37" spans="3:11" ht="18" customHeight="1">
      <c r="C37" s="34"/>
      <c r="D37" s="38"/>
      <c r="E37" s="38"/>
      <c r="F37" s="38"/>
      <c r="G37" s="38"/>
      <c r="H37" s="38"/>
      <c r="I37" s="38"/>
      <c r="J37" s="38"/>
      <c r="K37" s="34"/>
    </row>
    <row r="38" spans="4:11" ht="18.75">
      <c r="D38" s="37"/>
      <c r="E38" s="37"/>
      <c r="F38" s="37"/>
      <c r="G38" s="37"/>
      <c r="H38" s="37"/>
      <c r="I38" s="37"/>
      <c r="J38" s="37"/>
      <c r="K38" s="34"/>
    </row>
    <row r="40" spans="3:4" ht="18.75">
      <c r="C40" s="31" t="s">
        <v>53</v>
      </c>
      <c r="D40" s="31"/>
    </row>
    <row r="41" spans="3:4" ht="18.75">
      <c r="C41" s="31" t="s">
        <v>88</v>
      </c>
      <c r="D41" s="31"/>
    </row>
    <row r="42" spans="2:3" ht="18.75">
      <c r="B42" s="31"/>
      <c r="C42" s="31"/>
    </row>
    <row r="43" spans="2:3" ht="18.75">
      <c r="B43" s="31"/>
      <c r="C43" s="31"/>
    </row>
  </sheetData>
  <mergeCells count="2">
    <mergeCell ref="D7:F7"/>
    <mergeCell ref="H7:J7"/>
  </mergeCells>
  <printOptions/>
  <pageMargins left="0.75" right="0.48" top="0.81" bottom="0.35" header="0.2" footer="0.2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30"/>
  <sheetViews>
    <sheetView tabSelected="1" zoomScale="85" zoomScaleNormal="85" workbookViewId="0" topLeftCell="A37">
      <selection activeCell="D61" sqref="D61"/>
    </sheetView>
  </sheetViews>
  <sheetFormatPr defaultColWidth="9.140625" defaultRowHeight="12.75"/>
  <cols>
    <col min="1" max="1" width="3.57421875" style="1" customWidth="1"/>
    <col min="2" max="2" width="2.140625" style="1" customWidth="1"/>
    <col min="3" max="3" width="4.28125" style="1" customWidth="1"/>
    <col min="4" max="4" width="44.28125" style="1" customWidth="1"/>
    <col min="5" max="5" width="18.140625" style="1" customWidth="1"/>
    <col min="6" max="6" width="8.8515625" style="1" customWidth="1"/>
    <col min="7" max="7" width="18.00390625" style="1" customWidth="1"/>
    <col min="8" max="8" width="6.28125" style="1" customWidth="1"/>
    <col min="9" max="9" width="9.140625" style="1" customWidth="1"/>
    <col min="10" max="10" width="9.8515625" style="1" bestFit="1" customWidth="1"/>
    <col min="11" max="16384" width="9.140625" style="1" customWidth="1"/>
  </cols>
  <sheetData>
    <row r="2" spans="1:7" ht="15.75">
      <c r="A2" s="2" t="s">
        <v>16</v>
      </c>
      <c r="B2" s="2"/>
      <c r="C2" s="2"/>
      <c r="D2" s="2"/>
      <c r="E2" s="2"/>
      <c r="F2" s="2"/>
      <c r="G2" s="12"/>
    </row>
    <row r="3" spans="1:6" ht="15.75">
      <c r="A3" s="2" t="s">
        <v>25</v>
      </c>
      <c r="B3" s="2"/>
      <c r="C3" s="2"/>
      <c r="D3" s="2"/>
      <c r="E3" s="2"/>
      <c r="F3" s="2"/>
    </row>
    <row r="4" spans="1:6" ht="15.75">
      <c r="A4" s="2" t="s">
        <v>132</v>
      </c>
      <c r="B4" s="2"/>
      <c r="C4" s="2"/>
      <c r="D4" s="2"/>
      <c r="E4" s="2"/>
      <c r="F4" s="2"/>
    </row>
    <row r="5" ht="15.75">
      <c r="A5" s="10" t="s">
        <v>0</v>
      </c>
    </row>
    <row r="6" spans="5:7" s="3" customFormat="1" ht="15.75">
      <c r="E6" s="3" t="s">
        <v>133</v>
      </c>
      <c r="G6" s="3" t="s">
        <v>80</v>
      </c>
    </row>
    <row r="7" spans="5:7" ht="15.75">
      <c r="E7" s="3" t="s">
        <v>11</v>
      </c>
      <c r="G7" s="3" t="s">
        <v>11</v>
      </c>
    </row>
    <row r="8" spans="2:7" ht="15.75">
      <c r="B8" s="2" t="s">
        <v>116</v>
      </c>
      <c r="G8" s="3" t="s">
        <v>127</v>
      </c>
    </row>
    <row r="9" ht="15.75">
      <c r="H9" s="5"/>
    </row>
    <row r="10" spans="3:8" ht="15.75">
      <c r="C10" s="1" t="s">
        <v>117</v>
      </c>
      <c r="E10" s="5"/>
      <c r="H10" s="5"/>
    </row>
    <row r="11" spans="4:8" ht="15.75">
      <c r="D11" s="4" t="s">
        <v>17</v>
      </c>
      <c r="E11" s="5">
        <v>288976</v>
      </c>
      <c r="G11" s="5">
        <v>341771</v>
      </c>
      <c r="H11" s="5"/>
    </row>
    <row r="12" spans="4:8" ht="15.75">
      <c r="D12" s="1" t="s">
        <v>119</v>
      </c>
      <c r="E12" s="5">
        <v>11681</v>
      </c>
      <c r="G12" s="5">
        <v>11693</v>
      </c>
      <c r="H12" s="5"/>
    </row>
    <row r="13" spans="4:8" ht="15.75">
      <c r="D13" s="6" t="s">
        <v>118</v>
      </c>
      <c r="E13" s="5">
        <v>20422</v>
      </c>
      <c r="G13" s="5">
        <v>30418</v>
      </c>
      <c r="H13" s="5"/>
    </row>
    <row r="14" spans="4:8" ht="15.75">
      <c r="D14" s="1" t="s">
        <v>18</v>
      </c>
      <c r="E14" s="5">
        <v>8893</v>
      </c>
      <c r="G14" s="5">
        <v>8846</v>
      </c>
      <c r="H14" s="5"/>
    </row>
    <row r="15" spans="3:8" ht="15.75">
      <c r="C15" s="1" t="s">
        <v>12</v>
      </c>
      <c r="D15" s="1" t="s">
        <v>71</v>
      </c>
      <c r="E15" s="5">
        <v>3404</v>
      </c>
      <c r="G15" s="5">
        <v>2958</v>
      </c>
      <c r="H15" s="5"/>
    </row>
    <row r="16" spans="5:8" ht="15.75">
      <c r="E16" s="47">
        <f>SUM(E11:E15)</f>
        <v>333376</v>
      </c>
      <c r="G16" s="47">
        <f>SUM(G11:G15)</f>
        <v>395686</v>
      </c>
      <c r="H16" s="5"/>
    </row>
    <row r="17" spans="5:8" ht="15.75">
      <c r="E17" s="5"/>
      <c r="G17" s="5"/>
      <c r="H17" s="5"/>
    </row>
    <row r="18" spans="3:8" ht="15.75">
      <c r="C18" s="14" t="s">
        <v>13</v>
      </c>
      <c r="D18" s="14"/>
      <c r="E18" s="8"/>
      <c r="F18" s="14"/>
      <c r="G18" s="8"/>
      <c r="H18" s="5"/>
    </row>
    <row r="19" spans="3:8" ht="15.75">
      <c r="C19" s="45"/>
      <c r="D19" s="14" t="s">
        <v>19</v>
      </c>
      <c r="E19" s="8">
        <v>420</v>
      </c>
      <c r="F19" s="14"/>
      <c r="G19" s="8">
        <v>622</v>
      </c>
      <c r="H19" s="5"/>
    </row>
    <row r="20" spans="3:8" s="14" customFormat="1" ht="15.75">
      <c r="C20" s="45"/>
      <c r="D20" s="14" t="s">
        <v>20</v>
      </c>
      <c r="E20" s="46">
        <f>138769-40167+1</f>
        <v>98603</v>
      </c>
      <c r="G20" s="8">
        <f>85305-2</f>
        <v>85303</v>
      </c>
      <c r="H20" s="8"/>
    </row>
    <row r="21" spans="3:8" s="14" customFormat="1" ht="15.75">
      <c r="C21" s="45"/>
      <c r="D21" s="14" t="s">
        <v>66</v>
      </c>
      <c r="E21" s="46">
        <f>48584-28566</f>
        <v>20018</v>
      </c>
      <c r="G21" s="8">
        <v>20801</v>
      </c>
      <c r="H21" s="8"/>
    </row>
    <row r="22" spans="3:8" s="14" customFormat="1" ht="15.75">
      <c r="C22" s="45"/>
      <c r="D22" s="14" t="s">
        <v>21</v>
      </c>
      <c r="E22" s="46">
        <v>31222</v>
      </c>
      <c r="G22" s="8">
        <f>41902+3179+3398</f>
        <v>48479</v>
      </c>
      <c r="H22" s="8"/>
    </row>
    <row r="23" spans="3:8" s="14" customFormat="1" ht="15.75">
      <c r="C23" s="45"/>
      <c r="D23" s="14" t="s">
        <v>70</v>
      </c>
      <c r="E23" s="8">
        <v>6196</v>
      </c>
      <c r="G23" s="8">
        <v>5844</v>
      </c>
      <c r="H23" s="8"/>
    </row>
    <row r="24" spans="3:8" s="14" customFormat="1" ht="15.75">
      <c r="C24" s="45"/>
      <c r="D24" s="14" t="s">
        <v>49</v>
      </c>
      <c r="E24" s="8">
        <f>21041+5535</f>
        <v>26576</v>
      </c>
      <c r="G24" s="8">
        <v>30406</v>
      </c>
      <c r="H24" s="8"/>
    </row>
    <row r="25" spans="5:8" s="14" customFormat="1" ht="15.75">
      <c r="E25" s="47">
        <f>SUM(E19:E24)</f>
        <v>183035</v>
      </c>
      <c r="G25" s="47">
        <f>SUM(G19:G24)</f>
        <v>191455</v>
      </c>
      <c r="H25" s="8"/>
    </row>
    <row r="26" spans="7:8" s="14" customFormat="1" ht="15.75">
      <c r="G26" s="48"/>
      <c r="H26" s="8"/>
    </row>
    <row r="27" spans="2:8" s="14" customFormat="1" ht="16.5" thickBot="1">
      <c r="B27" s="14" t="s">
        <v>120</v>
      </c>
      <c r="E27" s="49">
        <f>E16+E25</f>
        <v>516411</v>
      </c>
      <c r="G27" s="49">
        <f>G16+G25</f>
        <v>587141</v>
      </c>
      <c r="H27" s="8"/>
    </row>
    <row r="28" s="14" customFormat="1" ht="15.75">
      <c r="H28" s="8"/>
    </row>
    <row r="29" spans="2:8" ht="15.75">
      <c r="B29" s="2" t="s">
        <v>111</v>
      </c>
      <c r="E29" s="5"/>
      <c r="G29" s="5"/>
      <c r="H29" s="5"/>
    </row>
    <row r="30" spans="2:8" ht="15.75">
      <c r="B30" s="2"/>
      <c r="E30" s="5"/>
      <c r="G30" s="5"/>
      <c r="H30" s="5"/>
    </row>
    <row r="31" spans="3:8" ht="15.75">
      <c r="C31" s="1" t="s">
        <v>122</v>
      </c>
      <c r="E31" s="5"/>
      <c r="G31" s="5"/>
      <c r="H31" s="5"/>
    </row>
    <row r="32" spans="3:8" ht="15.75">
      <c r="C32" s="1" t="s">
        <v>123</v>
      </c>
      <c r="E32" s="5"/>
      <c r="G32" s="5"/>
      <c r="H32" s="5"/>
    </row>
    <row r="33" spans="4:8" ht="15.75">
      <c r="D33" s="1" t="s">
        <v>14</v>
      </c>
      <c r="E33" s="5">
        <f>'Chg in equity'!D39</f>
        <v>240719</v>
      </c>
      <c r="G33" s="5">
        <v>240719</v>
      </c>
      <c r="H33" s="5"/>
    </row>
    <row r="34" spans="4:10" ht="15.75">
      <c r="D34" s="1" t="s">
        <v>126</v>
      </c>
      <c r="E34" s="5">
        <f>'Chg in equity'!E39</f>
        <v>74484</v>
      </c>
      <c r="G34" s="5">
        <v>74484</v>
      </c>
      <c r="H34" s="5"/>
      <c r="J34" s="13"/>
    </row>
    <row r="35" spans="4:8" ht="15.75">
      <c r="D35" s="1" t="s">
        <v>125</v>
      </c>
      <c r="E35" s="5">
        <f>'Chg in equity'!F39</f>
        <v>-4340</v>
      </c>
      <c r="G35" s="5">
        <v>-4840</v>
      </c>
      <c r="H35" s="5"/>
    </row>
    <row r="36" spans="4:8" ht="15.75">
      <c r="D36" s="1" t="s">
        <v>109</v>
      </c>
      <c r="E36" s="9">
        <f>'Chg in equity'!G39</f>
        <v>12425</v>
      </c>
      <c r="G36" s="9">
        <v>3473</v>
      </c>
      <c r="H36" s="5"/>
    </row>
    <row r="37" spans="3:10" ht="15.75">
      <c r="C37" s="7"/>
      <c r="E37" s="5">
        <f>SUM(E33:E36)</f>
        <v>323288</v>
      </c>
      <c r="G37" s="5">
        <f>SUM(G33:G36)</f>
        <v>313836</v>
      </c>
      <c r="H37" s="5"/>
      <c r="J37" s="13"/>
    </row>
    <row r="38" spans="3:8" ht="15.75">
      <c r="C38" s="1" t="s">
        <v>15</v>
      </c>
      <c r="E38" s="9">
        <f>'Chg in equity'!H39</f>
        <v>-1335</v>
      </c>
      <c r="G38" s="9">
        <v>-2370</v>
      </c>
      <c r="H38" s="5"/>
    </row>
    <row r="39" spans="3:8" ht="15.75">
      <c r="C39" s="1" t="s">
        <v>110</v>
      </c>
      <c r="E39" s="43">
        <f>SUM(E37:E38)</f>
        <v>321953</v>
      </c>
      <c r="G39" s="43">
        <f>SUM(G37:G38)</f>
        <v>311466</v>
      </c>
      <c r="H39" s="5"/>
    </row>
    <row r="40" spans="5:8" ht="15.75">
      <c r="E40" s="5"/>
      <c r="G40" s="5"/>
      <c r="H40" s="5"/>
    </row>
    <row r="41" spans="2:8" ht="15.75">
      <c r="B41" s="2" t="s">
        <v>112</v>
      </c>
      <c r="E41" s="5"/>
      <c r="G41" s="5"/>
      <c r="H41" s="5"/>
    </row>
    <row r="42" spans="2:8" ht="15.75">
      <c r="B42" s="2"/>
      <c r="E42" s="5"/>
      <c r="G42" s="5"/>
      <c r="H42" s="5"/>
    </row>
    <row r="43" spans="3:8" ht="15.75">
      <c r="C43" s="1" t="s">
        <v>113</v>
      </c>
      <c r="E43" s="5"/>
      <c r="G43" s="5"/>
      <c r="H43" s="5"/>
    </row>
    <row r="44" spans="4:7" ht="15.75">
      <c r="D44" s="1" t="s">
        <v>60</v>
      </c>
      <c r="E44" s="5">
        <v>13740</v>
      </c>
      <c r="F44" s="5"/>
      <c r="G44" s="5">
        <v>52488</v>
      </c>
    </row>
    <row r="45" spans="4:8" ht="15.75">
      <c r="D45" s="1" t="s">
        <v>24</v>
      </c>
      <c r="E45" s="5">
        <v>1773</v>
      </c>
      <c r="G45" s="5">
        <v>1888</v>
      </c>
      <c r="H45" s="5"/>
    </row>
    <row r="46" spans="4:8" ht="15.75">
      <c r="D46" s="1" t="s">
        <v>61</v>
      </c>
      <c r="E46" s="5">
        <v>8143</v>
      </c>
      <c r="G46" s="5">
        <v>5532</v>
      </c>
      <c r="H46" s="5"/>
    </row>
    <row r="47" spans="5:8" ht="15.75">
      <c r="E47" s="43">
        <f>SUM(E44:E46)</f>
        <v>23656</v>
      </c>
      <c r="G47" s="43">
        <f>SUM(G44:G46)</f>
        <v>59908</v>
      </c>
      <c r="H47" s="5"/>
    </row>
    <row r="48" spans="5:8" ht="15.75">
      <c r="E48" s="5"/>
      <c r="G48" s="5"/>
      <c r="H48" s="5"/>
    </row>
    <row r="49" spans="3:8" ht="15.75">
      <c r="C49" s="1" t="s">
        <v>114</v>
      </c>
      <c r="E49" s="5"/>
      <c r="G49" s="8"/>
      <c r="H49" s="5"/>
    </row>
    <row r="50" spans="4:8" ht="15.75">
      <c r="D50" s="1" t="s">
        <v>22</v>
      </c>
      <c r="E50" s="5">
        <v>48440</v>
      </c>
      <c r="G50" s="8">
        <v>47355</v>
      </c>
      <c r="H50" s="5"/>
    </row>
    <row r="51" spans="4:8" ht="15.75">
      <c r="D51" s="1" t="s">
        <v>23</v>
      </c>
      <c r="E51" s="5">
        <v>53032</v>
      </c>
      <c r="G51" s="8">
        <f>82138+129+88</f>
        <v>82355</v>
      </c>
      <c r="H51" s="5"/>
    </row>
    <row r="52" spans="4:8" ht="15.75">
      <c r="D52" s="1" t="s">
        <v>60</v>
      </c>
      <c r="E52" s="5">
        <f>43873+1021+22553</f>
        <v>67447</v>
      </c>
      <c r="G52" s="8">
        <f>28815+55095</f>
        <v>83910</v>
      </c>
      <c r="H52" s="5"/>
    </row>
    <row r="53" spans="4:8" ht="15.75">
      <c r="D53" s="1" t="s">
        <v>72</v>
      </c>
      <c r="E53" s="5">
        <v>1883</v>
      </c>
      <c r="G53" s="8">
        <v>2147</v>
      </c>
      <c r="H53" s="5"/>
    </row>
    <row r="54" spans="5:8" ht="15.75">
      <c r="E54" s="43">
        <f>SUM(E50:E53)</f>
        <v>170802</v>
      </c>
      <c r="G54" s="43">
        <f>SUM(G50:G53)</f>
        <v>215767</v>
      </c>
      <c r="H54" s="5"/>
    </row>
    <row r="55" spans="3:8" ht="15.75">
      <c r="C55" s="1" t="s">
        <v>121</v>
      </c>
      <c r="E55" s="43">
        <f>E54+E47</f>
        <v>194458</v>
      </c>
      <c r="G55" s="43">
        <f>G54+G47</f>
        <v>275675</v>
      </c>
      <c r="H55" s="5"/>
    </row>
    <row r="56" spans="5:8" ht="15.75">
      <c r="E56" s="5"/>
      <c r="G56" s="5"/>
      <c r="H56" s="5"/>
    </row>
    <row r="57" spans="2:8" ht="16.5" thickBot="1">
      <c r="B57" s="1" t="s">
        <v>115</v>
      </c>
      <c r="E57" s="44">
        <f>E55+E39</f>
        <v>516411</v>
      </c>
      <c r="G57" s="44">
        <f>G55+G39</f>
        <v>587141</v>
      </c>
      <c r="H57" s="5"/>
    </row>
    <row r="58" spans="5:8" ht="15.75">
      <c r="E58" s="5"/>
      <c r="G58" s="13"/>
      <c r="H58" s="5"/>
    </row>
    <row r="59" spans="3:8" ht="15.75">
      <c r="C59" s="1" t="s">
        <v>94</v>
      </c>
      <c r="E59" s="40">
        <f>E37/E33</f>
        <v>1.3430098995093864</v>
      </c>
      <c r="F59" s="40"/>
      <c r="G59" s="40">
        <v>1.31</v>
      </c>
      <c r="H59" s="5"/>
    </row>
    <row r="60" spans="3:8" ht="15.75">
      <c r="C60" s="1" t="s">
        <v>93</v>
      </c>
      <c r="G60" s="5"/>
      <c r="H60" s="5"/>
    </row>
    <row r="61" spans="5:8" ht="15.75">
      <c r="E61" s="13">
        <f>E57-E27</f>
        <v>0</v>
      </c>
      <c r="G61" s="5"/>
      <c r="H61" s="5"/>
    </row>
    <row r="62" spans="5:8" ht="15.75">
      <c r="E62" s="13"/>
      <c r="G62" s="5"/>
      <c r="H62" s="5"/>
    </row>
    <row r="63" spans="3:8" ht="15.75">
      <c r="C63" s="10" t="s">
        <v>52</v>
      </c>
      <c r="E63" s="1" t="s">
        <v>128</v>
      </c>
      <c r="G63" s="5"/>
      <c r="H63" s="5"/>
    </row>
    <row r="64" spans="3:8" ht="15.75">
      <c r="C64" s="10" t="s">
        <v>88</v>
      </c>
      <c r="G64" s="5"/>
      <c r="H64" s="5"/>
    </row>
    <row r="65" spans="7:8" ht="15.75">
      <c r="G65" s="5"/>
      <c r="H65" s="5"/>
    </row>
    <row r="66" spans="7:8" ht="15.75">
      <c r="G66" s="5"/>
      <c r="H66" s="5"/>
    </row>
    <row r="67" spans="7:8" ht="15.75">
      <c r="G67" s="5"/>
      <c r="H67" s="5"/>
    </row>
    <row r="68" spans="7:8" ht="15.75">
      <c r="G68" s="5"/>
      <c r="H68" s="5"/>
    </row>
    <row r="69" spans="7:8" ht="15.75">
      <c r="G69" s="5"/>
      <c r="H69" s="5"/>
    </row>
    <row r="70" spans="7:8" ht="15.75">
      <c r="G70" s="5"/>
      <c r="H70" s="5"/>
    </row>
    <row r="71" spans="7:8" ht="15.75">
      <c r="G71" s="5"/>
      <c r="H71" s="5"/>
    </row>
    <row r="72" spans="7:8" ht="15.75">
      <c r="G72" s="5"/>
      <c r="H72" s="5"/>
    </row>
    <row r="73" spans="7:8" ht="15.75">
      <c r="G73" s="5"/>
      <c r="H73" s="5"/>
    </row>
    <row r="74" spans="7:8" ht="15.75">
      <c r="G74" s="5"/>
      <c r="H74" s="5"/>
    </row>
    <row r="75" spans="7:8" ht="15.75">
      <c r="G75" s="5"/>
      <c r="H75" s="5"/>
    </row>
    <row r="76" spans="7:8" ht="15.75">
      <c r="G76" s="5"/>
      <c r="H76" s="5"/>
    </row>
    <row r="77" spans="7:8" ht="15.75">
      <c r="G77" s="5"/>
      <c r="H77" s="5"/>
    </row>
    <row r="78" spans="7:8" ht="15.75">
      <c r="G78" s="5"/>
      <c r="H78" s="5"/>
    </row>
    <row r="79" spans="7:8" ht="15.75">
      <c r="G79" s="5"/>
      <c r="H79" s="5"/>
    </row>
    <row r="80" spans="7:8" ht="15.75">
      <c r="G80" s="5"/>
      <c r="H80" s="5"/>
    </row>
    <row r="81" spans="7:8" ht="15.75">
      <c r="G81" s="5"/>
      <c r="H81" s="5"/>
    </row>
    <row r="82" spans="7:8" ht="15.75">
      <c r="G82" s="5"/>
      <c r="H82" s="5"/>
    </row>
    <row r="83" spans="7:8" ht="15.75">
      <c r="G83" s="5"/>
      <c r="H83" s="5"/>
    </row>
    <row r="84" spans="7:8" ht="15.75">
      <c r="G84" s="5"/>
      <c r="H84" s="5"/>
    </row>
    <row r="85" spans="7:8" ht="15.75">
      <c r="G85" s="5"/>
      <c r="H85" s="5"/>
    </row>
    <row r="86" spans="7:8" ht="15.75">
      <c r="G86" s="5"/>
      <c r="H86" s="5"/>
    </row>
    <row r="87" spans="7:8" ht="15.75">
      <c r="G87" s="5"/>
      <c r="H87" s="5"/>
    </row>
    <row r="88" spans="7:8" ht="15.75">
      <c r="G88" s="5"/>
      <c r="H88" s="5"/>
    </row>
    <row r="89" spans="7:8" ht="15.75">
      <c r="G89" s="5"/>
      <c r="H89" s="5"/>
    </row>
    <row r="90" spans="7:8" ht="15.75">
      <c r="G90" s="5"/>
      <c r="H90" s="5"/>
    </row>
    <row r="91" spans="7:8" ht="15.75">
      <c r="G91" s="5"/>
      <c r="H91" s="5"/>
    </row>
    <row r="92" spans="7:8" ht="15.75">
      <c r="G92" s="5"/>
      <c r="H92" s="5"/>
    </row>
    <row r="93" spans="7:8" ht="15.75">
      <c r="G93" s="5"/>
      <c r="H93" s="5"/>
    </row>
    <row r="94" spans="7:8" ht="15.75">
      <c r="G94" s="5"/>
      <c r="H94" s="5"/>
    </row>
    <row r="95" spans="7:8" ht="15.75">
      <c r="G95" s="5"/>
      <c r="H95" s="5"/>
    </row>
    <row r="96" spans="7:8" ht="15.75">
      <c r="G96" s="5"/>
      <c r="H96" s="5"/>
    </row>
    <row r="97" spans="7:8" ht="15.75">
      <c r="G97" s="5"/>
      <c r="H97" s="5"/>
    </row>
    <row r="98" spans="7:8" ht="15.75">
      <c r="G98" s="5"/>
      <c r="H98" s="5"/>
    </row>
    <row r="99" spans="7:8" ht="15.75">
      <c r="G99" s="5"/>
      <c r="H99" s="5"/>
    </row>
    <row r="100" spans="7:8" ht="15.75">
      <c r="G100" s="5"/>
      <c r="H100" s="5"/>
    </row>
    <row r="101" spans="7:8" ht="15.75">
      <c r="G101" s="5"/>
      <c r="H101" s="5"/>
    </row>
    <row r="102" spans="7:8" ht="15.75">
      <c r="G102" s="5"/>
      <c r="H102" s="5"/>
    </row>
    <row r="103" spans="7:8" ht="15.75">
      <c r="G103" s="5"/>
      <c r="H103" s="5"/>
    </row>
    <row r="104" spans="7:8" ht="15.75">
      <c r="G104" s="5"/>
      <c r="H104" s="5"/>
    </row>
    <row r="105" spans="7:8" ht="15.75">
      <c r="G105" s="5"/>
      <c r="H105" s="5"/>
    </row>
    <row r="106" spans="7:8" ht="15.75">
      <c r="G106" s="5"/>
      <c r="H106" s="5"/>
    </row>
    <row r="107" spans="7:8" ht="15.75">
      <c r="G107" s="5"/>
      <c r="H107" s="5"/>
    </row>
    <row r="108" spans="7:8" ht="15.75">
      <c r="G108" s="5"/>
      <c r="H108" s="5"/>
    </row>
    <row r="109" spans="7:8" ht="15.75">
      <c r="G109" s="5"/>
      <c r="H109" s="5"/>
    </row>
    <row r="110" spans="7:8" ht="15.75">
      <c r="G110" s="5"/>
      <c r="H110" s="5"/>
    </row>
    <row r="111" spans="7:8" ht="15.75">
      <c r="G111" s="5"/>
      <c r="H111" s="5"/>
    </row>
    <row r="112" spans="7:8" ht="15.75">
      <c r="G112" s="5"/>
      <c r="H112" s="5"/>
    </row>
    <row r="113" spans="7:8" ht="15.75">
      <c r="G113" s="5"/>
      <c r="H113" s="5"/>
    </row>
    <row r="114" spans="7:8" ht="15.75">
      <c r="G114" s="5"/>
      <c r="H114" s="5"/>
    </row>
    <row r="115" spans="7:8" ht="15.75">
      <c r="G115" s="5"/>
      <c r="H115" s="5"/>
    </row>
    <row r="116" spans="7:8" ht="15.75">
      <c r="G116" s="5"/>
      <c r="H116" s="5"/>
    </row>
    <row r="117" spans="7:8" ht="15.75">
      <c r="G117" s="5"/>
      <c r="H117" s="5"/>
    </row>
    <row r="118" spans="7:8" ht="15.75">
      <c r="G118" s="5"/>
      <c r="H118" s="5"/>
    </row>
    <row r="119" spans="7:8" ht="15.75">
      <c r="G119" s="5"/>
      <c r="H119" s="5"/>
    </row>
    <row r="120" spans="7:8" ht="15.75">
      <c r="G120" s="5"/>
      <c r="H120" s="5"/>
    </row>
    <row r="121" spans="7:8" ht="15.75">
      <c r="G121" s="5"/>
      <c r="H121" s="5"/>
    </row>
    <row r="122" spans="7:8" ht="15.75">
      <c r="G122" s="5"/>
      <c r="H122" s="5"/>
    </row>
    <row r="123" spans="7:8" ht="15.75">
      <c r="G123" s="5"/>
      <c r="H123" s="5"/>
    </row>
    <row r="124" spans="7:8" ht="15.75">
      <c r="G124" s="5"/>
      <c r="H124" s="5"/>
    </row>
    <row r="125" spans="7:8" ht="15.75">
      <c r="G125" s="5"/>
      <c r="H125" s="5"/>
    </row>
    <row r="126" spans="7:8" ht="15.75">
      <c r="G126" s="5"/>
      <c r="H126" s="5"/>
    </row>
    <row r="127" spans="7:8" ht="15.75">
      <c r="G127" s="5"/>
      <c r="H127" s="5"/>
    </row>
    <row r="128" spans="7:8" ht="15.75">
      <c r="G128" s="5"/>
      <c r="H128" s="5"/>
    </row>
    <row r="129" spans="7:8" ht="15.75">
      <c r="G129" s="5"/>
      <c r="H129" s="5"/>
    </row>
    <row r="130" spans="7:8" ht="15.75">
      <c r="G130" s="5"/>
      <c r="H130" s="5"/>
    </row>
  </sheetData>
  <printOptions/>
  <pageMargins left="0.86" right="0.22" top="0.36" bottom="0.38" header="0.25" footer="0.14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0"/>
  <sheetViews>
    <sheetView zoomScale="75" zoomScaleNormal="75" workbookViewId="0" topLeftCell="A10">
      <selection activeCell="B40" sqref="B40"/>
    </sheetView>
  </sheetViews>
  <sheetFormatPr defaultColWidth="9.140625" defaultRowHeight="12.75"/>
  <cols>
    <col min="1" max="2" width="2.421875" style="1" customWidth="1"/>
    <col min="3" max="3" width="37.28125" style="1" customWidth="1"/>
    <col min="4" max="4" width="11.7109375" style="1" customWidth="1"/>
    <col min="5" max="5" width="11.421875" style="1" customWidth="1"/>
    <col min="6" max="6" width="12.8515625" style="1" customWidth="1"/>
    <col min="7" max="7" width="11.57421875" style="1" customWidth="1"/>
    <col min="8" max="8" width="16.57421875" style="1" customWidth="1"/>
    <col min="9" max="9" width="14.28125" style="1" customWidth="1"/>
    <col min="10" max="16384" width="9.140625" style="1" customWidth="1"/>
  </cols>
  <sheetData>
    <row r="1" spans="2:9" ht="15.75">
      <c r="B1" s="2" t="s">
        <v>16</v>
      </c>
      <c r="C1" s="2"/>
      <c r="I1" s="12"/>
    </row>
    <row r="2" spans="2:3" ht="15.75">
      <c r="B2" s="2" t="s">
        <v>28</v>
      </c>
      <c r="C2" s="2"/>
    </row>
    <row r="3" spans="2:3" ht="15.75">
      <c r="B3" s="2" t="s">
        <v>134</v>
      </c>
      <c r="C3" s="2"/>
    </row>
    <row r="4" ht="15.75">
      <c r="B4" s="10" t="s">
        <v>0</v>
      </c>
    </row>
    <row r="7" spans="4:9" ht="15.75">
      <c r="D7" s="70" t="s">
        <v>104</v>
      </c>
      <c r="E7" s="70"/>
      <c r="F7" s="70"/>
      <c r="G7" s="70"/>
      <c r="H7" s="3" t="s">
        <v>96</v>
      </c>
      <c r="I7" s="3" t="s">
        <v>106</v>
      </c>
    </row>
    <row r="8" spans="4:7" s="3" customFormat="1" ht="15.75">
      <c r="D8" s="3" t="s">
        <v>29</v>
      </c>
      <c r="E8" s="3" t="s">
        <v>29</v>
      </c>
      <c r="F8" s="3" t="s">
        <v>105</v>
      </c>
      <c r="G8" s="3" t="s">
        <v>33</v>
      </c>
    </row>
    <row r="9" spans="4:7" s="3" customFormat="1" ht="15.75">
      <c r="D9" s="3" t="s">
        <v>30</v>
      </c>
      <c r="E9" s="3" t="s">
        <v>31</v>
      </c>
      <c r="F9" s="3" t="s">
        <v>32</v>
      </c>
      <c r="G9" s="3" t="s">
        <v>34</v>
      </c>
    </row>
    <row r="10" spans="4:9" s="3" customFormat="1" ht="15.75">
      <c r="D10" s="3" t="s">
        <v>11</v>
      </c>
      <c r="E10" s="3" t="s">
        <v>11</v>
      </c>
      <c r="F10" s="3" t="s">
        <v>11</v>
      </c>
      <c r="G10" s="3" t="s">
        <v>11</v>
      </c>
      <c r="H10" s="3" t="s">
        <v>11</v>
      </c>
      <c r="I10" s="3" t="s">
        <v>11</v>
      </c>
    </row>
    <row r="12" spans="2:9" s="5" customFormat="1" ht="17.25" customHeight="1">
      <c r="B12" s="39" t="s">
        <v>62</v>
      </c>
      <c r="D12" s="5">
        <v>190719</v>
      </c>
      <c r="E12" s="5">
        <v>70945</v>
      </c>
      <c r="F12" s="5">
        <v>-1887</v>
      </c>
      <c r="G12" s="5">
        <v>2627</v>
      </c>
      <c r="H12" s="5">
        <v>0</v>
      </c>
      <c r="I12" s="8">
        <f>SUM(D12:H12)</f>
        <v>262404</v>
      </c>
    </row>
    <row r="13" spans="2:9" s="5" customFormat="1" ht="17.25" customHeight="1">
      <c r="B13" s="39"/>
      <c r="I13" s="8"/>
    </row>
    <row r="14" spans="2:10" ht="17.25" customHeight="1">
      <c r="B14" s="14" t="s">
        <v>35</v>
      </c>
      <c r="C14" s="14"/>
      <c r="D14" s="8">
        <v>0</v>
      </c>
      <c r="E14" s="8">
        <v>0</v>
      </c>
      <c r="F14" s="8">
        <v>-2953</v>
      </c>
      <c r="G14" s="8">
        <v>0</v>
      </c>
      <c r="H14" s="8">
        <v>0</v>
      </c>
      <c r="I14" s="8">
        <f>SUM(D14:H14)</f>
        <v>-2953</v>
      </c>
      <c r="J14" s="5"/>
    </row>
    <row r="15" spans="2:10" ht="17.25" customHeight="1">
      <c r="B15" s="14"/>
      <c r="C15" s="14"/>
      <c r="D15" s="8"/>
      <c r="E15" s="8"/>
      <c r="F15" s="8"/>
      <c r="G15" s="8"/>
      <c r="H15" s="8"/>
      <c r="I15" s="8"/>
      <c r="J15" s="5"/>
    </row>
    <row r="16" spans="2:10" ht="17.25" customHeight="1">
      <c r="B16" s="14" t="s">
        <v>73</v>
      </c>
      <c r="C16" s="14"/>
      <c r="D16" s="8"/>
      <c r="E16" s="8"/>
      <c r="F16" s="8"/>
      <c r="G16" s="8"/>
      <c r="H16" s="8"/>
      <c r="I16" s="8"/>
      <c r="J16" s="5"/>
    </row>
    <row r="17" spans="2:10" ht="17.25" customHeight="1">
      <c r="B17" s="1" t="s">
        <v>67</v>
      </c>
      <c r="C17" s="14" t="s">
        <v>107</v>
      </c>
      <c r="J17" s="5"/>
    </row>
    <row r="18" spans="2:10" ht="17.25" customHeight="1">
      <c r="B18" s="14"/>
      <c r="C18" s="14" t="s">
        <v>108</v>
      </c>
      <c r="D18" s="8">
        <v>50000</v>
      </c>
      <c r="E18" s="8">
        <v>3539</v>
      </c>
      <c r="F18" s="8">
        <v>0</v>
      </c>
      <c r="G18" s="8">
        <v>0</v>
      </c>
      <c r="H18" s="8">
        <v>0</v>
      </c>
      <c r="I18" s="8">
        <f>SUM(D18:H18)</f>
        <v>53539</v>
      </c>
      <c r="J18" s="5"/>
    </row>
    <row r="19" spans="2:10" ht="17.25" customHeight="1">
      <c r="B19" s="14"/>
      <c r="C19" s="14"/>
      <c r="D19" s="8"/>
      <c r="E19" s="8"/>
      <c r="F19" s="8"/>
      <c r="G19" s="8"/>
      <c r="H19" s="8"/>
      <c r="I19" s="8"/>
      <c r="J19" s="5"/>
    </row>
    <row r="20" spans="2:10" ht="17.25" customHeight="1">
      <c r="B20" s="14" t="s">
        <v>74</v>
      </c>
      <c r="C20" s="14"/>
      <c r="D20" s="8">
        <v>0</v>
      </c>
      <c r="E20" s="8">
        <v>0</v>
      </c>
      <c r="F20" s="8">
        <v>0</v>
      </c>
      <c r="G20" s="8">
        <v>-867</v>
      </c>
      <c r="H20" s="8">
        <v>0</v>
      </c>
      <c r="I20" s="8">
        <f>SUM(D20:H20)</f>
        <v>-867</v>
      </c>
      <c r="J20" s="5"/>
    </row>
    <row r="21" spans="2:10" ht="17.25" customHeight="1">
      <c r="B21" s="14"/>
      <c r="C21" s="14"/>
      <c r="D21" s="8"/>
      <c r="E21" s="8"/>
      <c r="F21" s="8"/>
      <c r="G21" s="8"/>
      <c r="H21" s="8"/>
      <c r="I21" s="8"/>
      <c r="J21" s="5"/>
    </row>
    <row r="22" spans="2:10" ht="17.25" customHeight="1">
      <c r="B22" s="14" t="s">
        <v>82</v>
      </c>
      <c r="C22" s="14"/>
      <c r="D22" s="8">
        <v>0</v>
      </c>
      <c r="E22" s="8">
        <v>0</v>
      </c>
      <c r="F22" s="8">
        <v>0</v>
      </c>
      <c r="G22" s="8">
        <v>1713</v>
      </c>
      <c r="H22" s="8">
        <v>0</v>
      </c>
      <c r="I22" s="8">
        <f>SUM(D22:H22)</f>
        <v>1713</v>
      </c>
      <c r="J22" s="5"/>
    </row>
    <row r="23" spans="2:10" s="14" customFormat="1" ht="17.25" customHeight="1">
      <c r="B23" s="1"/>
      <c r="C23" s="1"/>
      <c r="D23" s="5"/>
      <c r="E23" s="5"/>
      <c r="F23" s="5"/>
      <c r="G23" s="5"/>
      <c r="H23" s="5"/>
      <c r="I23" s="8"/>
      <c r="J23" s="8"/>
    </row>
    <row r="24" spans="2:10" ht="17.25" customHeight="1" thickBot="1">
      <c r="B24" s="2" t="s">
        <v>81</v>
      </c>
      <c r="C24" s="2"/>
      <c r="D24" s="11">
        <f aca="true" t="shared" si="0" ref="D24:I24">SUM(D12:D22)</f>
        <v>240719</v>
      </c>
      <c r="E24" s="11">
        <f t="shared" si="0"/>
        <v>74484</v>
      </c>
      <c r="F24" s="11">
        <f t="shared" si="0"/>
        <v>-4840</v>
      </c>
      <c r="G24" s="11">
        <f t="shared" si="0"/>
        <v>3473</v>
      </c>
      <c r="H24" s="11">
        <f t="shared" si="0"/>
        <v>0</v>
      </c>
      <c r="I24" s="11">
        <f t="shared" si="0"/>
        <v>313836</v>
      </c>
      <c r="J24" s="5"/>
    </row>
    <row r="25" spans="4:10" ht="17.25" customHeight="1" thickTop="1">
      <c r="D25" s="5"/>
      <c r="E25" s="5"/>
      <c r="F25" s="5"/>
      <c r="G25" s="5"/>
      <c r="H25" s="5"/>
      <c r="I25" s="5"/>
      <c r="J25" s="5"/>
    </row>
    <row r="26" spans="4:10" s="14" customFormat="1" ht="17.25" customHeight="1">
      <c r="D26" s="8"/>
      <c r="E26" s="8"/>
      <c r="F26" s="8"/>
      <c r="G26" s="8"/>
      <c r="H26" s="8"/>
      <c r="I26" s="8"/>
      <c r="J26" s="8"/>
    </row>
    <row r="27" spans="2:10" ht="17.25" customHeight="1">
      <c r="B27" s="2" t="s">
        <v>89</v>
      </c>
      <c r="D27" s="5">
        <f>D24</f>
        <v>240719</v>
      </c>
      <c r="E27" s="5">
        <f>E24</f>
        <v>74484</v>
      </c>
      <c r="F27" s="5">
        <f>F24</f>
        <v>-4840</v>
      </c>
      <c r="G27" s="5">
        <f>G24</f>
        <v>3473</v>
      </c>
      <c r="H27" s="5">
        <f>H24</f>
        <v>0</v>
      </c>
      <c r="I27" s="5">
        <f>SUM(D27:H27)</f>
        <v>313836</v>
      </c>
      <c r="J27" s="5"/>
    </row>
    <row r="28" spans="2:10" ht="17.25" customHeight="1">
      <c r="B28" s="2"/>
      <c r="D28" s="5"/>
      <c r="E28" s="5"/>
      <c r="F28" s="5"/>
      <c r="G28" s="5"/>
      <c r="H28" s="5"/>
      <c r="I28" s="5"/>
      <c r="J28" s="5"/>
    </row>
    <row r="29" spans="2:10" ht="17.25" customHeight="1">
      <c r="B29" s="5" t="s">
        <v>124</v>
      </c>
      <c r="D29" s="5">
        <v>0</v>
      </c>
      <c r="E29" s="5">
        <v>0</v>
      </c>
      <c r="F29" s="5">
        <v>0</v>
      </c>
      <c r="G29" s="5">
        <v>0</v>
      </c>
      <c r="H29" s="5">
        <v>-2370</v>
      </c>
      <c r="I29" s="5">
        <f>SUM(D29:H29)</f>
        <v>-2370</v>
      </c>
      <c r="J29" s="5"/>
    </row>
    <row r="30" spans="2:10" ht="17.25" customHeight="1">
      <c r="B30" s="2"/>
      <c r="D30" s="5"/>
      <c r="E30" s="5"/>
      <c r="F30" s="5"/>
      <c r="G30" s="5"/>
      <c r="H30" s="5"/>
      <c r="I30" s="5"/>
      <c r="J30" s="5"/>
    </row>
    <row r="31" spans="2:10" ht="17.25" customHeight="1">
      <c r="B31" s="14" t="s">
        <v>35</v>
      </c>
      <c r="D31" s="5">
        <v>0</v>
      </c>
      <c r="E31" s="5">
        <v>0</v>
      </c>
      <c r="F31" s="5">
        <f>635-135</f>
        <v>500</v>
      </c>
      <c r="G31" s="5">
        <v>0</v>
      </c>
      <c r="H31" s="5">
        <v>0</v>
      </c>
      <c r="I31" s="5">
        <f>SUM(D31:H31)</f>
        <v>500</v>
      </c>
      <c r="J31" s="5"/>
    </row>
    <row r="32" spans="2:10" ht="17.25" customHeight="1">
      <c r="B32" s="14"/>
      <c r="D32" s="5"/>
      <c r="E32" s="5"/>
      <c r="F32" s="5"/>
      <c r="G32" s="5"/>
      <c r="H32" s="5"/>
      <c r="I32" s="5"/>
      <c r="J32" s="5"/>
    </row>
    <row r="33" spans="2:10" ht="17.25" customHeight="1">
      <c r="B33" s="14" t="s">
        <v>138</v>
      </c>
      <c r="D33" s="5"/>
      <c r="E33" s="5"/>
      <c r="F33" s="5"/>
      <c r="G33" s="5"/>
      <c r="H33" s="5">
        <v>918</v>
      </c>
      <c r="I33" s="5">
        <f>SUM(D33:H33)</f>
        <v>918</v>
      </c>
      <c r="J33" s="5"/>
    </row>
    <row r="34" spans="2:10" ht="17.25" customHeight="1">
      <c r="B34" s="15"/>
      <c r="C34" s="14"/>
      <c r="D34" s="5"/>
      <c r="E34" s="5"/>
      <c r="F34" s="5"/>
      <c r="G34" s="5"/>
      <c r="H34" s="5"/>
      <c r="I34" s="5"/>
      <c r="J34" s="5"/>
    </row>
    <row r="35" spans="2:10" ht="17.25" customHeight="1">
      <c r="B35" s="14" t="s">
        <v>90</v>
      </c>
      <c r="C35" s="14"/>
      <c r="D35" s="5">
        <v>0</v>
      </c>
      <c r="E35" s="5">
        <v>0</v>
      </c>
      <c r="F35" s="5">
        <v>0</v>
      </c>
      <c r="G35" s="5">
        <v>-5200</v>
      </c>
      <c r="H35" s="5">
        <v>0</v>
      </c>
      <c r="I35" s="5">
        <f>SUM(D35:H35)</f>
        <v>-5200</v>
      </c>
      <c r="J35" s="5"/>
    </row>
    <row r="36" spans="4:10" s="14" customFormat="1" ht="17.25" customHeight="1">
      <c r="D36" s="8"/>
      <c r="E36" s="8"/>
      <c r="F36" s="8"/>
      <c r="G36" s="8"/>
      <c r="H36" s="8"/>
      <c r="I36" s="8"/>
      <c r="J36" s="8"/>
    </row>
    <row r="37" spans="2:10" s="14" customFormat="1" ht="15.75">
      <c r="B37" s="1" t="s">
        <v>92</v>
      </c>
      <c r="C37" s="1"/>
      <c r="D37" s="8">
        <v>0</v>
      </c>
      <c r="E37" s="8">
        <v>0</v>
      </c>
      <c r="F37" s="8">
        <v>0</v>
      </c>
      <c r="G37" s="8">
        <f>PL!H26</f>
        <v>14152</v>
      </c>
      <c r="H37" s="8">
        <v>117</v>
      </c>
      <c r="I37" s="5">
        <f>SUM(D37:H37)</f>
        <v>14269</v>
      </c>
      <c r="J37" s="8"/>
    </row>
    <row r="38" spans="4:10" s="14" customFormat="1" ht="15.75">
      <c r="D38" s="8"/>
      <c r="E38" s="8"/>
      <c r="F38" s="8"/>
      <c r="G38" s="8"/>
      <c r="H38" s="8"/>
      <c r="I38" s="8"/>
      <c r="J38" s="8"/>
    </row>
    <row r="39" spans="2:10" s="14" customFormat="1" ht="24.75" customHeight="1" thickBot="1">
      <c r="B39" s="2" t="s">
        <v>139</v>
      </c>
      <c r="D39" s="11">
        <f aca="true" t="shared" si="1" ref="D39:I39">SUM(D27:D37)</f>
        <v>240719</v>
      </c>
      <c r="E39" s="11">
        <f t="shared" si="1"/>
        <v>74484</v>
      </c>
      <c r="F39" s="11">
        <f t="shared" si="1"/>
        <v>-4340</v>
      </c>
      <c r="G39" s="11">
        <f t="shared" si="1"/>
        <v>12425</v>
      </c>
      <c r="H39" s="11">
        <f t="shared" si="1"/>
        <v>-1335</v>
      </c>
      <c r="I39" s="11">
        <f t="shared" si="1"/>
        <v>321953</v>
      </c>
      <c r="J39" s="8"/>
    </row>
    <row r="40" ht="16.5" thickTop="1">
      <c r="J40" s="5"/>
    </row>
    <row r="41" spans="6:10" ht="15.75">
      <c r="F41" s="13"/>
      <c r="J41" s="5"/>
    </row>
    <row r="42" ht="15.75">
      <c r="J42" s="5"/>
    </row>
    <row r="43" ht="15.75">
      <c r="J43" s="5"/>
    </row>
    <row r="44" ht="15.75">
      <c r="J44" s="5"/>
    </row>
    <row r="45" ht="15.75">
      <c r="J45" s="5"/>
    </row>
    <row r="46" spans="4:10" ht="15.75">
      <c r="D46" s="5"/>
      <c r="E46" s="5"/>
      <c r="F46" s="5"/>
      <c r="G46" s="5"/>
      <c r="H46" s="5"/>
      <c r="I46" s="5"/>
      <c r="J46" s="5"/>
    </row>
    <row r="47" spans="2:10" ht="15.75">
      <c r="B47" s="10" t="s">
        <v>54</v>
      </c>
      <c r="D47" s="5"/>
      <c r="E47" s="5"/>
      <c r="F47" s="5"/>
      <c r="G47" s="5"/>
      <c r="H47" s="5"/>
      <c r="I47" s="5"/>
      <c r="J47" s="5"/>
    </row>
    <row r="48" spans="2:10" ht="15.75">
      <c r="B48" s="10" t="s">
        <v>88</v>
      </c>
      <c r="D48" s="5"/>
      <c r="E48" s="5"/>
      <c r="F48" s="5"/>
      <c r="G48" s="5"/>
      <c r="H48" s="5"/>
      <c r="I48" s="5"/>
      <c r="J48" s="5"/>
    </row>
    <row r="49" spans="4:10" ht="15.75">
      <c r="D49" s="5"/>
      <c r="E49" s="5"/>
      <c r="F49" s="5"/>
      <c r="G49" s="5"/>
      <c r="H49" s="5"/>
      <c r="I49" s="5"/>
      <c r="J49" s="5"/>
    </row>
    <row r="50" spans="4:10" ht="15.75">
      <c r="D50" s="5"/>
      <c r="E50" s="5"/>
      <c r="F50" s="5"/>
      <c r="G50" s="5"/>
      <c r="H50" s="5"/>
      <c r="I50" s="5"/>
      <c r="J50" s="5"/>
    </row>
    <row r="51" spans="4:10" ht="15.75">
      <c r="D51" s="5"/>
      <c r="E51" s="5"/>
      <c r="F51" s="5"/>
      <c r="G51" s="5"/>
      <c r="H51" s="5"/>
      <c r="I51" s="5"/>
      <c r="J51" s="5"/>
    </row>
    <row r="52" spans="4:10" ht="15.75">
      <c r="D52" s="5"/>
      <c r="E52" s="5"/>
      <c r="F52" s="5"/>
      <c r="G52" s="5"/>
      <c r="H52" s="5"/>
      <c r="I52" s="5"/>
      <c r="J52" s="5"/>
    </row>
    <row r="53" spans="4:10" ht="15.75">
      <c r="D53" s="5"/>
      <c r="E53" s="5"/>
      <c r="F53" s="5"/>
      <c r="G53" s="5"/>
      <c r="H53" s="5"/>
      <c r="I53" s="5"/>
      <c r="J53" s="5"/>
    </row>
    <row r="54" spans="4:10" ht="15.75">
      <c r="D54" s="5"/>
      <c r="E54" s="5"/>
      <c r="F54" s="5"/>
      <c r="G54" s="5"/>
      <c r="H54" s="5"/>
      <c r="I54" s="5"/>
      <c r="J54" s="5"/>
    </row>
    <row r="55" spans="4:10" ht="15.75">
      <c r="D55" s="5"/>
      <c r="E55" s="5"/>
      <c r="F55" s="5"/>
      <c r="G55" s="5"/>
      <c r="H55" s="5"/>
      <c r="I55" s="5"/>
      <c r="J55" s="5"/>
    </row>
    <row r="56" spans="4:10" ht="15.75">
      <c r="D56" s="5"/>
      <c r="E56" s="5"/>
      <c r="F56" s="5"/>
      <c r="G56" s="5"/>
      <c r="H56" s="5"/>
      <c r="I56" s="5"/>
      <c r="J56" s="5"/>
    </row>
    <row r="57" spans="4:10" ht="15.75">
      <c r="D57" s="5"/>
      <c r="E57" s="5"/>
      <c r="F57" s="5"/>
      <c r="G57" s="5"/>
      <c r="H57" s="5"/>
      <c r="I57" s="5"/>
      <c r="J57" s="5"/>
    </row>
    <row r="58" spans="4:10" ht="15.75">
      <c r="D58" s="5"/>
      <c r="E58" s="5"/>
      <c r="F58" s="5"/>
      <c r="G58" s="5"/>
      <c r="H58" s="5"/>
      <c r="I58" s="5"/>
      <c r="J58" s="5"/>
    </row>
    <row r="59" spans="4:10" ht="15.75">
      <c r="D59" s="5"/>
      <c r="E59" s="5"/>
      <c r="F59" s="5"/>
      <c r="G59" s="5"/>
      <c r="H59" s="5"/>
      <c r="I59" s="5"/>
      <c r="J59" s="5"/>
    </row>
    <row r="60" spans="4:10" ht="15.75">
      <c r="D60" s="5"/>
      <c r="E60" s="5"/>
      <c r="F60" s="5"/>
      <c r="G60" s="5"/>
      <c r="H60" s="5"/>
      <c r="I60" s="5"/>
      <c r="J60" s="5"/>
    </row>
  </sheetData>
  <mergeCells count="1">
    <mergeCell ref="D7:G7"/>
  </mergeCells>
  <printOptions/>
  <pageMargins left="0.75" right="0.43" top="1" bottom="1" header="0.5" footer="0.5"/>
  <pageSetup fitToHeight="1" fitToWidth="1" horizontalDpi="600" verticalDpi="60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4"/>
  <sheetViews>
    <sheetView zoomScale="85" zoomScaleNormal="85" workbookViewId="0" topLeftCell="A31">
      <selection activeCell="C50" sqref="C50"/>
    </sheetView>
  </sheetViews>
  <sheetFormatPr defaultColWidth="9.140625" defaultRowHeight="12.75"/>
  <cols>
    <col min="1" max="1" width="3.8515625" style="17" customWidth="1"/>
    <col min="2" max="2" width="49.140625" style="17" customWidth="1"/>
    <col min="3" max="3" width="17.421875" style="27" bestFit="1" customWidth="1"/>
    <col min="4" max="4" width="6.8515625" style="27" customWidth="1"/>
    <col min="5" max="5" width="17.421875" style="27" bestFit="1" customWidth="1"/>
    <col min="6" max="6" width="11.00390625" style="18" customWidth="1"/>
    <col min="7" max="7" width="9.140625" style="19" customWidth="1"/>
    <col min="8" max="16384" width="9.140625" style="17" customWidth="1"/>
  </cols>
  <sheetData>
    <row r="1" spans="2:4" ht="15">
      <c r="B1" s="16" t="s">
        <v>16</v>
      </c>
      <c r="C1" s="58"/>
      <c r="D1" s="58"/>
    </row>
    <row r="2" spans="2:4" ht="15">
      <c r="B2" s="16" t="s">
        <v>36</v>
      </c>
      <c r="C2" s="58"/>
      <c r="D2" s="58"/>
    </row>
    <row r="3" spans="2:4" ht="15">
      <c r="B3" s="16" t="s">
        <v>132</v>
      </c>
      <c r="C3" s="58"/>
      <c r="D3" s="58"/>
    </row>
    <row r="4" spans="2:6" ht="15">
      <c r="B4" s="20" t="s">
        <v>0</v>
      </c>
      <c r="F4" s="21"/>
    </row>
    <row r="5" spans="2:6" ht="15">
      <c r="B5" s="20"/>
      <c r="C5" s="59"/>
      <c r="D5" s="58"/>
      <c r="E5" s="59"/>
      <c r="F5" s="21"/>
    </row>
    <row r="6" spans="2:6" ht="15">
      <c r="B6" s="20"/>
      <c r="C6" s="22" t="s">
        <v>135</v>
      </c>
      <c r="D6" s="16"/>
      <c r="E6" s="22" t="s">
        <v>135</v>
      </c>
      <c r="F6" s="21"/>
    </row>
    <row r="7" spans="3:6" ht="15">
      <c r="C7" s="54">
        <f>PL!D11</f>
        <v>38990</v>
      </c>
      <c r="D7" s="17"/>
      <c r="E7" s="54">
        <f>PL!F11</f>
        <v>38625</v>
      </c>
      <c r="F7" s="21"/>
    </row>
    <row r="8" spans="3:6" ht="15">
      <c r="C8" s="59" t="s">
        <v>11</v>
      </c>
      <c r="E8" s="59" t="s">
        <v>11</v>
      </c>
      <c r="F8" s="21"/>
    </row>
    <row r="9" spans="2:5" ht="15">
      <c r="B9" s="16" t="s">
        <v>44</v>
      </c>
      <c r="C9" s="58"/>
      <c r="D9" s="58"/>
      <c r="E9" s="58"/>
    </row>
    <row r="10" spans="2:7" ht="15">
      <c r="B10" s="17" t="s">
        <v>40</v>
      </c>
      <c r="C10" s="57">
        <v>206618</v>
      </c>
      <c r="D10" s="57"/>
      <c r="E10" s="57">
        <v>151466</v>
      </c>
      <c r="G10" s="23"/>
    </row>
    <row r="11" spans="2:7" ht="15">
      <c r="B11" s="17" t="s">
        <v>41</v>
      </c>
      <c r="C11" s="57">
        <v>-186440</v>
      </c>
      <c r="D11" s="57"/>
      <c r="E11" s="57">
        <v>-136052</v>
      </c>
      <c r="G11" s="23"/>
    </row>
    <row r="12" spans="2:7" ht="15">
      <c r="B12" s="17" t="s">
        <v>37</v>
      </c>
      <c r="C12" s="57">
        <v>-5677</v>
      </c>
      <c r="D12" s="57"/>
      <c r="E12" s="57">
        <v>-6139</v>
      </c>
      <c r="G12" s="23"/>
    </row>
    <row r="13" spans="2:7" ht="15">
      <c r="B13" s="17" t="s">
        <v>76</v>
      </c>
      <c r="C13" s="57">
        <v>-4685</v>
      </c>
      <c r="D13" s="57"/>
      <c r="E13" s="57">
        <v>-356</v>
      </c>
      <c r="G13" s="23"/>
    </row>
    <row r="14" spans="3:7" ht="15">
      <c r="C14" s="57"/>
      <c r="D14" s="57"/>
      <c r="E14" s="57"/>
      <c r="G14" s="23"/>
    </row>
    <row r="15" spans="2:7" ht="15" customHeight="1">
      <c r="B15" s="20" t="s">
        <v>65</v>
      </c>
      <c r="C15" s="60">
        <f>SUM(C10:C13)</f>
        <v>9816</v>
      </c>
      <c r="D15" s="61"/>
      <c r="E15" s="60">
        <f>SUM(E10:E13)</f>
        <v>8919</v>
      </c>
      <c r="G15" s="23"/>
    </row>
    <row r="16" spans="3:7" ht="15">
      <c r="C16" s="57"/>
      <c r="D16" s="57"/>
      <c r="E16" s="57"/>
      <c r="G16" s="23"/>
    </row>
    <row r="17" spans="2:7" ht="15">
      <c r="B17" s="16" t="s">
        <v>45</v>
      </c>
      <c r="C17" s="62"/>
      <c r="D17" s="62"/>
      <c r="E17" s="62"/>
      <c r="G17" s="23"/>
    </row>
    <row r="18" spans="2:7" ht="15">
      <c r="B18" s="17" t="s">
        <v>42</v>
      </c>
      <c r="C18" s="57">
        <v>-4206</v>
      </c>
      <c r="D18" s="57"/>
      <c r="E18" s="57">
        <v>-489</v>
      </c>
      <c r="G18" s="23"/>
    </row>
    <row r="19" spans="2:7" ht="15">
      <c r="B19" s="17" t="s">
        <v>131</v>
      </c>
      <c r="C19" s="57">
        <v>1400</v>
      </c>
      <c r="D19" s="57"/>
      <c r="E19" s="57">
        <v>0</v>
      </c>
      <c r="G19" s="23"/>
    </row>
    <row r="20" spans="2:7" ht="15">
      <c r="B20" s="17" t="s">
        <v>57</v>
      </c>
      <c r="C20" s="57">
        <v>11969</v>
      </c>
      <c r="D20" s="57"/>
      <c r="E20" s="57">
        <v>12299</v>
      </c>
      <c r="G20" s="23"/>
    </row>
    <row r="21" spans="2:7" ht="15">
      <c r="B21" s="17" t="s">
        <v>136</v>
      </c>
      <c r="C21" s="57">
        <v>11197</v>
      </c>
      <c r="D21" s="57"/>
      <c r="E21" s="57">
        <v>0</v>
      </c>
      <c r="G21" s="23"/>
    </row>
    <row r="22" spans="2:7" ht="15">
      <c r="B22" s="17" t="s">
        <v>130</v>
      </c>
      <c r="C22" s="57">
        <v>0</v>
      </c>
      <c r="D22" s="57"/>
      <c r="E22" s="57">
        <v>-4730</v>
      </c>
      <c r="G22" s="23"/>
    </row>
    <row r="23" spans="2:7" ht="15">
      <c r="B23" s="17" t="s">
        <v>83</v>
      </c>
      <c r="C23" s="57">
        <v>358</v>
      </c>
      <c r="D23" s="57"/>
      <c r="E23" s="57">
        <v>124</v>
      </c>
      <c r="G23" s="23"/>
    </row>
    <row r="24" spans="2:7" ht="15">
      <c r="B24" s="17" t="s">
        <v>38</v>
      </c>
      <c r="C24" s="57">
        <v>262</v>
      </c>
      <c r="D24" s="57"/>
      <c r="E24" s="57">
        <v>48</v>
      </c>
      <c r="G24" s="23"/>
    </row>
    <row r="25" spans="3:7" ht="15">
      <c r="C25" s="57"/>
      <c r="D25" s="57"/>
      <c r="E25" s="57"/>
      <c r="G25" s="23"/>
    </row>
    <row r="26" spans="3:7" ht="15">
      <c r="C26" s="57"/>
      <c r="D26" s="57"/>
      <c r="G26" s="23"/>
    </row>
    <row r="27" spans="2:7" ht="17.25" customHeight="1">
      <c r="B27" s="20" t="s">
        <v>77</v>
      </c>
      <c r="C27" s="60">
        <f>SUM(C18:C26)</f>
        <v>20980</v>
      </c>
      <c r="D27" s="61"/>
      <c r="E27" s="60">
        <f>SUM(E18:E26)</f>
        <v>7252</v>
      </c>
      <c r="G27" s="23"/>
    </row>
    <row r="28" spans="3:7" ht="15">
      <c r="C28" s="57"/>
      <c r="D28" s="57"/>
      <c r="G28" s="23"/>
    </row>
    <row r="29" spans="2:7" ht="15">
      <c r="B29" s="16" t="s">
        <v>43</v>
      </c>
      <c r="C29" s="62"/>
      <c r="D29" s="62"/>
      <c r="E29" s="57"/>
      <c r="G29" s="23"/>
    </row>
    <row r="30" spans="2:7" ht="15">
      <c r="B30" s="17" t="s">
        <v>75</v>
      </c>
      <c r="C30" s="57">
        <v>-5200</v>
      </c>
      <c r="D30" s="57"/>
      <c r="E30" s="57">
        <v>-867</v>
      </c>
      <c r="G30" s="23"/>
    </row>
    <row r="31" spans="2:7" ht="15">
      <c r="B31" s="17" t="s">
        <v>84</v>
      </c>
      <c r="C31" s="27">
        <v>0</v>
      </c>
      <c r="D31" s="62"/>
      <c r="E31" s="57">
        <v>0</v>
      </c>
      <c r="G31" s="23"/>
    </row>
    <row r="32" spans="2:7" ht="15">
      <c r="B32" s="17" t="s">
        <v>86</v>
      </c>
      <c r="C32" s="57">
        <v>0</v>
      </c>
      <c r="D32" s="57"/>
      <c r="E32" s="57">
        <v>0</v>
      </c>
      <c r="G32" s="23"/>
    </row>
    <row r="33" spans="2:7" ht="15">
      <c r="B33" s="17" t="s">
        <v>129</v>
      </c>
      <c r="C33" s="57">
        <v>-18468</v>
      </c>
      <c r="D33" s="57"/>
      <c r="E33" s="57">
        <v>-13739</v>
      </c>
      <c r="G33" s="23"/>
    </row>
    <row r="34" spans="2:7" ht="15">
      <c r="B34" s="17" t="s">
        <v>59</v>
      </c>
      <c r="C34" s="57">
        <v>-4527</v>
      </c>
      <c r="D34" s="57"/>
      <c r="E34" s="57">
        <v>-5449</v>
      </c>
      <c r="G34" s="23"/>
    </row>
    <row r="35" spans="2:7" ht="15">
      <c r="B35" s="17" t="s">
        <v>85</v>
      </c>
      <c r="C35" s="57">
        <v>0</v>
      </c>
      <c r="D35" s="57"/>
      <c r="E35" s="57">
        <v>0</v>
      </c>
      <c r="G35" s="23"/>
    </row>
    <row r="36" spans="3:7" ht="15">
      <c r="C36" s="57"/>
      <c r="D36" s="57"/>
      <c r="G36" s="23"/>
    </row>
    <row r="37" spans="2:7" ht="18" customHeight="1">
      <c r="B37" s="20" t="s">
        <v>68</v>
      </c>
      <c r="C37" s="60">
        <f>SUM(C30:C36)</f>
        <v>-28195</v>
      </c>
      <c r="D37" s="61"/>
      <c r="E37" s="60">
        <f>SUM(E30:E36)</f>
        <v>-20055</v>
      </c>
      <c r="G37" s="23"/>
    </row>
    <row r="38" spans="2:7" ht="18" customHeight="1">
      <c r="B38" s="20"/>
      <c r="C38" s="23"/>
      <c r="D38" s="61"/>
      <c r="E38" s="23"/>
      <c r="G38" s="23"/>
    </row>
    <row r="39" spans="2:7" ht="18.75" customHeight="1">
      <c r="B39" s="17" t="s">
        <v>58</v>
      </c>
      <c r="C39" s="57">
        <f>-187299/1000</f>
        <v>-187.299</v>
      </c>
      <c r="D39" s="57"/>
      <c r="E39" s="57">
        <v>-93</v>
      </c>
      <c r="G39" s="23"/>
    </row>
    <row r="40" spans="3:7" ht="15">
      <c r="C40" s="57"/>
      <c r="D40" s="57"/>
      <c r="G40" s="23"/>
    </row>
    <row r="41" spans="2:7" ht="15">
      <c r="B41" s="24" t="s">
        <v>64</v>
      </c>
      <c r="C41" s="57">
        <f>+C15+C27+C37+C39</f>
        <v>2413.701</v>
      </c>
      <c r="D41" s="62"/>
      <c r="E41" s="57">
        <f>+E15+E27+E37+E39</f>
        <v>-3977</v>
      </c>
      <c r="G41" s="23"/>
    </row>
    <row r="42" spans="2:7" ht="18" customHeight="1">
      <c r="B42" s="24" t="s">
        <v>47</v>
      </c>
      <c r="C42" s="57">
        <f>C43-C41</f>
        <v>1610.1332814469943</v>
      </c>
      <c r="D42" s="62"/>
      <c r="E42" s="57">
        <v>2948</v>
      </c>
      <c r="G42" s="23"/>
    </row>
    <row r="43" spans="2:7" ht="21" customHeight="1" thickBot="1">
      <c r="B43" s="24" t="s">
        <v>48</v>
      </c>
      <c r="C43" s="63">
        <f>C49</f>
        <v>4023.8342814469943</v>
      </c>
      <c r="D43" s="62"/>
      <c r="E43" s="63">
        <f>SUM(E41:E42)</f>
        <v>-1029</v>
      </c>
      <c r="G43" s="23"/>
    </row>
    <row r="44" spans="2:7" ht="15.75" thickTop="1">
      <c r="B44" s="25"/>
      <c r="C44" s="64"/>
      <c r="D44" s="64"/>
      <c r="E44" s="64"/>
      <c r="G44" s="23"/>
    </row>
    <row r="45" spans="2:7" ht="15">
      <c r="B45" s="50" t="s">
        <v>46</v>
      </c>
      <c r="C45" s="65"/>
      <c r="D45" s="65"/>
      <c r="E45" s="65"/>
      <c r="G45" s="26"/>
    </row>
    <row r="46" spans="2:7" ht="15">
      <c r="B46" s="17" t="s">
        <v>49</v>
      </c>
      <c r="C46" s="57">
        <f>'[1]Group-BS'!$C$33/1000+1</f>
        <v>21042.485391446997</v>
      </c>
      <c r="D46" s="57"/>
      <c r="E46" s="27">
        <v>18170</v>
      </c>
      <c r="G46" s="23"/>
    </row>
    <row r="47" spans="2:7" ht="15">
      <c r="B47" s="17" t="s">
        <v>50</v>
      </c>
      <c r="C47" s="57">
        <f>'[1]Group-BS'!$C$32/1000</f>
        <v>5535.263029999999</v>
      </c>
      <c r="D47" s="57"/>
      <c r="E47" s="57">
        <v>4230</v>
      </c>
      <c r="G47" s="23"/>
    </row>
    <row r="48" spans="2:7" ht="15">
      <c r="B48" s="17" t="s">
        <v>51</v>
      </c>
      <c r="C48" s="57">
        <f>-'[1]Group-BS'!$C$46/1000</f>
        <v>-22552.91414</v>
      </c>
      <c r="D48" s="57"/>
      <c r="E48" s="57">
        <v>-23429</v>
      </c>
      <c r="G48" s="23"/>
    </row>
    <row r="49" spans="3:7" ht="21.75" customHeight="1" thickBot="1">
      <c r="C49" s="63">
        <f>SUM(C46:C48)-1</f>
        <v>4023.8342814469943</v>
      </c>
      <c r="D49" s="57"/>
      <c r="E49" s="63">
        <f>SUM(E46:E48)</f>
        <v>-1029</v>
      </c>
      <c r="G49" s="23"/>
    </row>
    <row r="50" ht="15.75" thickTop="1"/>
    <row r="52" spans="3:4" ht="15">
      <c r="C52" s="66"/>
      <c r="D52" s="66"/>
    </row>
    <row r="53" spans="2:4" ht="15">
      <c r="B53" s="20" t="s">
        <v>55</v>
      </c>
      <c r="C53" s="66"/>
      <c r="D53" s="66"/>
    </row>
    <row r="54" ht="15">
      <c r="B54" s="20" t="s">
        <v>91</v>
      </c>
    </row>
  </sheetData>
  <printOptions/>
  <pageMargins left="1.03" right="0.25" top="0.62" bottom="0.38" header="0.25" footer="0.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Konsortium Logistik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Konsortium</dc:creator>
  <cp:keywords/>
  <dc:description/>
  <cp:lastModifiedBy>sclim</cp:lastModifiedBy>
  <cp:lastPrinted>2006-11-20T06:12:38Z</cp:lastPrinted>
  <dcterms:created xsi:type="dcterms:W3CDTF">2001-05-15T09:39:25Z</dcterms:created>
  <dcterms:modified xsi:type="dcterms:W3CDTF">2006-11-20T08:54:09Z</dcterms:modified>
  <cp:category/>
  <cp:version/>
  <cp:contentType/>
  <cp:contentStatus/>
</cp:coreProperties>
</file>